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120" yWindow="60" windowWidth="18915" windowHeight="8505" firstSheet="7" activeTab="11"/>
  </bookViews>
  <sheets>
    <sheet name="PROBLEMAS" sheetId="2" r:id="rId1"/>
    <sheet name="PROB. AJUSTES" sheetId="13" r:id="rId2"/>
    <sheet name="ESQUEMA DE MAYOR" sheetId="3" r:id="rId3"/>
    <sheet name="BALANZA DE COMPROBACION" sheetId="5" r:id="rId4"/>
    <sheet name="HOJA DE TRABAJO" sheetId="6" r:id="rId5"/>
    <sheet name="BALANCE GENERAL" sheetId="7" r:id="rId6"/>
    <sheet name="BALANZA COMPARATIVA" sheetId="9" r:id="rId7"/>
    <sheet name="ESTADO DE RESULTADO" sheetId="8" r:id="rId8"/>
    <sheet name="ANALISIS" sheetId="16" r:id="rId9"/>
    <sheet name="ESQ. M. AJUSTADOS" sheetId="15" r:id="rId10"/>
    <sheet name="TARGETA DE ALMACEN" sheetId="11" r:id="rId11"/>
    <sheet name="GRAFICA" sheetId="12" r:id="rId12"/>
  </sheets>
  <calcPr calcId="125725"/>
</workbook>
</file>

<file path=xl/calcChain.xml><?xml version="1.0" encoding="utf-8"?>
<calcChain xmlns="http://schemas.openxmlformats.org/spreadsheetml/2006/main">
  <c r="F44" i="3"/>
  <c r="G15"/>
  <c r="C9" i="9" l="1"/>
  <c r="C10"/>
  <c r="C11"/>
  <c r="C12"/>
  <c r="C13"/>
  <c r="C14"/>
  <c r="C15"/>
  <c r="C16"/>
  <c r="C17"/>
  <c r="C18"/>
  <c r="C19"/>
  <c r="C20"/>
  <c r="C21"/>
  <c r="C22"/>
  <c r="C23"/>
  <c r="C24"/>
  <c r="C27"/>
  <c r="C28"/>
  <c r="C29"/>
  <c r="C30"/>
  <c r="C31"/>
  <c r="C32"/>
  <c r="C33"/>
  <c r="B44" i="15" l="1"/>
  <c r="N34"/>
  <c r="K34"/>
  <c r="F34"/>
  <c r="B34"/>
  <c r="J16" s="1"/>
  <c r="C26"/>
  <c r="C25"/>
  <c r="N16"/>
  <c r="J7"/>
  <c r="N15" s="1"/>
  <c r="G7"/>
  <c r="N35" s="1"/>
  <c r="J6"/>
  <c r="J5"/>
  <c r="C5"/>
  <c r="N4"/>
  <c r="J4"/>
  <c r="F4"/>
  <c r="B4"/>
  <c r="B6" s="1"/>
  <c r="J8" l="1"/>
  <c r="J17"/>
  <c r="N36"/>
  <c r="J18"/>
  <c r="G6" s="1"/>
  <c r="B45"/>
  <c r="C27"/>
  <c r="J15"/>
  <c r="C4" s="1"/>
  <c r="C6" s="1"/>
  <c r="B7" s="1"/>
  <c r="K26"/>
  <c r="B46"/>
  <c r="K4"/>
  <c r="G5"/>
  <c r="G15"/>
  <c r="B25"/>
  <c r="G26"/>
  <c r="B27" l="1"/>
  <c r="C28" s="1"/>
  <c r="G25"/>
  <c r="G27" s="1"/>
  <c r="K25"/>
  <c r="K27" s="1"/>
  <c r="N14"/>
  <c r="N17" s="1"/>
  <c r="J14"/>
  <c r="J19" s="1"/>
  <c r="N17" i="12"/>
  <c r="N41" i="6" l="1"/>
  <c r="N23"/>
  <c r="M40"/>
  <c r="N24" s="1"/>
  <c r="C46" i="15" s="1"/>
  <c r="N21" i="6"/>
  <c r="M17"/>
  <c r="B28" i="15" s="1"/>
  <c r="D16" i="11"/>
  <c r="Q41" i="6" l="1"/>
  <c r="H31" i="9" s="1"/>
  <c r="C67" i="15"/>
  <c r="B67" s="1"/>
  <c r="K69" s="1"/>
  <c r="N31" i="6"/>
  <c r="O36" i="15" s="1"/>
  <c r="M58"/>
  <c r="P40" i="6"/>
  <c r="G30" i="9" s="1"/>
  <c r="M32" i="6"/>
  <c r="N38" i="15" s="1"/>
  <c r="C34"/>
  <c r="M35" i="6"/>
  <c r="N41" i="15" s="1"/>
  <c r="K35"/>
  <c r="M26" i="6"/>
  <c r="B49" i="15" s="1"/>
  <c r="N19" i="6"/>
  <c r="M19"/>
  <c r="M29"/>
  <c r="B52" i="15" s="1"/>
  <c r="E15" i="11"/>
  <c r="C15"/>
  <c r="G14"/>
  <c r="D14"/>
  <c r="C14"/>
  <c r="C13"/>
  <c r="E13"/>
  <c r="I12"/>
  <c r="C12"/>
  <c r="G11"/>
  <c r="D11"/>
  <c r="I11" s="1"/>
  <c r="J11" s="1"/>
  <c r="C11"/>
  <c r="G10"/>
  <c r="D10"/>
  <c r="C10"/>
  <c r="B4" i="3"/>
  <c r="G7"/>
  <c r="H62" i="16" s="1"/>
  <c r="C24" i="3"/>
  <c r="H53" i="16" s="1"/>
  <c r="B42" i="3"/>
  <c r="G47" i="16" s="1"/>
  <c r="N32" i="3"/>
  <c r="G48" i="16" s="1"/>
  <c r="K32" i="3"/>
  <c r="C5"/>
  <c r="H43" i="16" s="1"/>
  <c r="F32" i="3"/>
  <c r="J7"/>
  <c r="G37" i="16" s="1"/>
  <c r="B32" i="3"/>
  <c r="J15" s="1"/>
  <c r="G32" i="16" s="1"/>
  <c r="C23" i="3"/>
  <c r="H25" i="16" s="1"/>
  <c r="J6" i="3"/>
  <c r="G18" i="16" s="1"/>
  <c r="J5" i="3"/>
  <c r="N4"/>
  <c r="J4"/>
  <c r="G8" i="16" s="1"/>
  <c r="F4" i="3"/>
  <c r="G6" i="16" s="1"/>
  <c r="I10" i="11" l="1"/>
  <c r="K10" s="1"/>
  <c r="I14"/>
  <c r="F11"/>
  <c r="F13" s="1"/>
  <c r="F14" s="1"/>
  <c r="F15" s="1"/>
  <c r="F16" s="1"/>
  <c r="F10"/>
  <c r="T40" i="6"/>
  <c r="G38" i="7"/>
  <c r="S41" i="6"/>
  <c r="K11" i="11"/>
  <c r="N20" i="6"/>
  <c r="O27" i="15" s="1"/>
  <c r="J27"/>
  <c r="J29" s="1"/>
  <c r="M42" i="6"/>
  <c r="K28" i="15"/>
  <c r="K29" s="1"/>
  <c r="K24" i="3"/>
  <c r="B43"/>
  <c r="G61" i="16" s="1"/>
  <c r="J14" i="3"/>
  <c r="G19" i="16" s="1"/>
  <c r="H55"/>
  <c r="N26" i="15"/>
  <c r="C25" i="3"/>
  <c r="K4"/>
  <c r="N13" s="1"/>
  <c r="G11" i="16"/>
  <c r="G7"/>
  <c r="F11" i="5"/>
  <c r="C4" i="3"/>
  <c r="B23"/>
  <c r="G33" i="16"/>
  <c r="F15" i="5"/>
  <c r="G5" i="3"/>
  <c r="H34" i="16" s="1"/>
  <c r="N14" i="3"/>
  <c r="G36" i="16" s="1"/>
  <c r="G42"/>
  <c r="F16" i="5"/>
  <c r="N15" i="3"/>
  <c r="G41" i="16" s="1"/>
  <c r="H44"/>
  <c r="G20" i="5"/>
  <c r="J17" i="3"/>
  <c r="G24"/>
  <c r="N24"/>
  <c r="G52" i="16" s="1"/>
  <c r="N33" i="3"/>
  <c r="G60" i="16" s="1"/>
  <c r="C14" i="15"/>
  <c r="B6" i="3"/>
  <c r="G5" i="16"/>
  <c r="J8" i="3"/>
  <c r="C13"/>
  <c r="J13"/>
  <c r="F14" i="8" l="1"/>
  <c r="F35"/>
  <c r="H11" i="11"/>
  <c r="K12"/>
  <c r="B44" i="3"/>
  <c r="F24" i="5" s="1"/>
  <c r="P42" i="6"/>
  <c r="G32" i="9" s="1"/>
  <c r="F67" i="15"/>
  <c r="G14" i="3"/>
  <c r="H38" i="16" s="1"/>
  <c r="G4" i="3"/>
  <c r="G12" i="16"/>
  <c r="G4" i="15"/>
  <c r="G8" s="1"/>
  <c r="H54" i="16"/>
  <c r="F6" i="15"/>
  <c r="F6" i="3"/>
  <c r="G51" i="16" s="1"/>
  <c r="H23" i="6"/>
  <c r="J23" s="1"/>
  <c r="F23" i="9" s="1"/>
  <c r="I20" i="5"/>
  <c r="G13" i="3"/>
  <c r="G13" i="16"/>
  <c r="G14" i="15"/>
  <c r="G16" s="1"/>
  <c r="N16" i="3"/>
  <c r="F13" i="5" s="1"/>
  <c r="G21"/>
  <c r="H9" i="16"/>
  <c r="N34" i="3"/>
  <c r="F25" i="5" s="1"/>
  <c r="G46" i="16"/>
  <c r="G6" i="3"/>
  <c r="H49" i="16" s="1"/>
  <c r="H16" i="5"/>
  <c r="G22" i="6"/>
  <c r="I22" s="1"/>
  <c r="E22" i="9" s="1"/>
  <c r="G21" i="6"/>
  <c r="I21" s="1"/>
  <c r="E21" i="9" s="1"/>
  <c r="H15" i="5"/>
  <c r="K23" i="3"/>
  <c r="N23" s="1"/>
  <c r="H20" i="16"/>
  <c r="C6" i="3"/>
  <c r="G8" i="5" s="1"/>
  <c r="H9" i="6" s="1"/>
  <c r="H24" i="5"/>
  <c r="G24" i="6"/>
  <c r="I24" s="1"/>
  <c r="E24" i="9" s="1"/>
  <c r="F10" i="5"/>
  <c r="G11" i="6" s="1"/>
  <c r="F8" i="5"/>
  <c r="G23" i="16"/>
  <c r="B25" i="3"/>
  <c r="F22" i="5" s="1"/>
  <c r="G17" i="6" s="1"/>
  <c r="H11" i="5"/>
  <c r="G12" i="6"/>
  <c r="I12" s="1"/>
  <c r="E12" i="9" s="1"/>
  <c r="H16" i="16"/>
  <c r="G22" i="5"/>
  <c r="H17" i="6" s="1"/>
  <c r="J16" i="3"/>
  <c r="G40" i="16" s="1"/>
  <c r="G23" i="3"/>
  <c r="H13" i="6"/>
  <c r="I21" i="5"/>
  <c r="C26" i="3" l="1"/>
  <c r="I22" i="5" s="1"/>
  <c r="J17" i="6" s="1"/>
  <c r="F17" i="9" s="1"/>
  <c r="T42" i="6"/>
  <c r="E17" i="7" s="1"/>
  <c r="N14" i="12" s="1"/>
  <c r="H12" i="11"/>
  <c r="H13" s="1"/>
  <c r="J13" s="1"/>
  <c r="K13" s="1"/>
  <c r="K14" s="1"/>
  <c r="B7" i="3"/>
  <c r="H8" i="5" s="1"/>
  <c r="I9" i="6" s="1"/>
  <c r="E9" i="9" s="1"/>
  <c r="Q17" i="6"/>
  <c r="H17" i="9" s="1"/>
  <c r="N38" i="6"/>
  <c r="P12"/>
  <c r="G12" i="9" s="1"/>
  <c r="G24" i="16"/>
  <c r="N25" i="3"/>
  <c r="F14" i="5" s="1"/>
  <c r="N39" i="6"/>
  <c r="P22"/>
  <c r="G22" i="9" s="1"/>
  <c r="G16" i="6"/>
  <c r="I16" s="1"/>
  <c r="E16" i="9" s="1"/>
  <c r="H13" i="5"/>
  <c r="H14" i="16"/>
  <c r="G8" i="3"/>
  <c r="G9" i="5" s="1"/>
  <c r="H26" i="16"/>
  <c r="F5" i="15"/>
  <c r="F8" s="1"/>
  <c r="F9" s="1"/>
  <c r="G25" i="3"/>
  <c r="G19" i="5" s="1"/>
  <c r="G9" i="6"/>
  <c r="H27" i="16"/>
  <c r="N25" i="15"/>
  <c r="N27" s="1"/>
  <c r="K25" i="3"/>
  <c r="G18" i="5" s="1"/>
  <c r="P21" i="6"/>
  <c r="G21" i="9" s="1"/>
  <c r="G31" i="6"/>
  <c r="I31" s="1"/>
  <c r="E25" i="9" s="1"/>
  <c r="H25" i="5"/>
  <c r="H15" i="16"/>
  <c r="G17" i="5"/>
  <c r="Q23" i="6"/>
  <c r="H23" i="9" s="1"/>
  <c r="J18" i="3"/>
  <c r="F12" i="5" s="1"/>
  <c r="F5" i="3"/>
  <c r="J13" i="6"/>
  <c r="F13" i="9" s="1"/>
  <c r="H14" i="11" l="1"/>
  <c r="H15" s="1"/>
  <c r="N9" i="6"/>
  <c r="P9" s="1"/>
  <c r="G9" i="9" s="1"/>
  <c r="F44" i="15"/>
  <c r="K5"/>
  <c r="K5" i="3"/>
  <c r="F42"/>
  <c r="G22" i="16"/>
  <c r="F8" i="3"/>
  <c r="H14" i="6"/>
  <c r="J14" s="1"/>
  <c r="F14" i="9" s="1"/>
  <c r="I17" i="5"/>
  <c r="H19" i="6"/>
  <c r="J19" s="1"/>
  <c r="F19" i="9" s="1"/>
  <c r="I18" i="5"/>
  <c r="H18" i="6"/>
  <c r="I19" i="5"/>
  <c r="J18" i="6" s="1"/>
  <c r="F18" i="9" s="1"/>
  <c r="H10" i="6"/>
  <c r="H14" i="5"/>
  <c r="G20" i="6"/>
  <c r="I20" s="1"/>
  <c r="E20" i="9" s="1"/>
  <c r="T12" i="6"/>
  <c r="D20" i="7" s="1"/>
  <c r="Q38" i="6"/>
  <c r="H28" i="9" s="1"/>
  <c r="F58" i="15"/>
  <c r="M33" i="6"/>
  <c r="M27"/>
  <c r="B50" i="15" s="1"/>
  <c r="H12" i="5"/>
  <c r="G15" i="6"/>
  <c r="I15" s="1"/>
  <c r="E15" i="9" s="1"/>
  <c r="U23" i="6"/>
  <c r="K11" i="7" s="1"/>
  <c r="N20" i="12" s="1"/>
  <c r="K36" i="15"/>
  <c r="T21" i="6"/>
  <c r="B35" i="15"/>
  <c r="G37" i="7"/>
  <c r="P16" i="6"/>
  <c r="G16" i="9" s="1"/>
  <c r="T22" i="6"/>
  <c r="D22" i="7" s="1"/>
  <c r="J58" i="15"/>
  <c r="Q39" i="6"/>
  <c r="H29" i="9" s="1"/>
  <c r="M28" i="6"/>
  <c r="B51" i="15" s="1"/>
  <c r="M34" i="6"/>
  <c r="N40" i="15" s="1"/>
  <c r="S17" i="6"/>
  <c r="S45" s="1"/>
  <c r="C29" i="15"/>
  <c r="B29" s="1"/>
  <c r="K67" s="1"/>
  <c r="F8" i="8"/>
  <c r="Q13" i="6"/>
  <c r="H13" i="9" s="1"/>
  <c r="F34" l="1"/>
  <c r="H30" i="16"/>
  <c r="B8" i="15"/>
  <c r="T9" i="6"/>
  <c r="E9" i="7" s="1"/>
  <c r="N7" i="12" s="1"/>
  <c r="H16" i="11"/>
  <c r="I16" s="1"/>
  <c r="M11" i="6" s="1"/>
  <c r="J15" i="11"/>
  <c r="G29" i="16"/>
  <c r="C7" i="15"/>
  <c r="M24" i="6"/>
  <c r="B47" i="15" s="1"/>
  <c r="J45" i="6"/>
  <c r="U39"/>
  <c r="D23" i="7" s="1"/>
  <c r="E22" s="1"/>
  <c r="N16" i="12" s="1"/>
  <c r="N37" i="6"/>
  <c r="P20"/>
  <c r="G20" i="9" s="1"/>
  <c r="M18" i="6"/>
  <c r="F27" i="15" s="1"/>
  <c r="K44" s="1"/>
  <c r="I26" i="5"/>
  <c r="F9"/>
  <c r="F9" i="3"/>
  <c r="H9" i="5" s="1"/>
  <c r="T16" i="6"/>
  <c r="E14" i="7" s="1"/>
  <c r="N11" i="12" s="1"/>
  <c r="N39" i="15"/>
  <c r="U38" i="6"/>
  <c r="D21" i="7" s="1"/>
  <c r="E20" s="1"/>
  <c r="Q19" i="6"/>
  <c r="H19" i="9" s="1"/>
  <c r="Q14" i="6"/>
  <c r="H14" i="9" s="1"/>
  <c r="U13" i="6"/>
  <c r="G39" i="7"/>
  <c r="E15" s="1"/>
  <c r="N12" i="12" s="1"/>
  <c r="J10" i="15" l="1"/>
  <c r="N36" i="6"/>
  <c r="G46" i="15" s="1"/>
  <c r="F45"/>
  <c r="F46" s="1"/>
  <c r="K6"/>
  <c r="K8" s="1"/>
  <c r="J9" s="1"/>
  <c r="K6" i="3"/>
  <c r="F43"/>
  <c r="K15" i="11"/>
  <c r="K16" s="1"/>
  <c r="U14" i="6"/>
  <c r="K9" i="7" s="1"/>
  <c r="I10" i="6"/>
  <c r="E10" i="9" s="1"/>
  <c r="K30" i="15"/>
  <c r="U19" i="6"/>
  <c r="K10" i="7" s="1"/>
  <c r="N19" i="12" s="1"/>
  <c r="F25" i="7"/>
  <c r="N15" i="12"/>
  <c r="G10" i="6"/>
  <c r="T20"/>
  <c r="D12" i="7" s="1"/>
  <c r="N28" i="15"/>
  <c r="M31" i="6"/>
  <c r="C58" i="15"/>
  <c r="Q37" i="6"/>
  <c r="H27" i="9" s="1"/>
  <c r="H34" s="1"/>
  <c r="K22" i="7"/>
  <c r="G57" i="16" l="1"/>
  <c r="G63" s="1"/>
  <c r="F23" i="5"/>
  <c r="H58" i="16"/>
  <c r="H63" s="1"/>
  <c r="K8" i="3"/>
  <c r="U37" i="6"/>
  <c r="D13" i="7" s="1"/>
  <c r="N37" i="15"/>
  <c r="P31" i="6"/>
  <c r="G25" i="9" s="1"/>
  <c r="E12" i="7"/>
  <c r="N10" i="12" s="1"/>
  <c r="Q45" i="6"/>
  <c r="N10"/>
  <c r="P10" s="1"/>
  <c r="G10" i="9" s="1"/>
  <c r="L18" i="7"/>
  <c r="N18" i="12"/>
  <c r="N21"/>
  <c r="G10" i="5" l="1"/>
  <c r="J9" i="3"/>
  <c r="H10" i="5" s="1"/>
  <c r="H23"/>
  <c r="G36" i="6"/>
  <c r="F26" i="5"/>
  <c r="T10" i="6"/>
  <c r="E10" i="7" s="1"/>
  <c r="F10" i="15"/>
  <c r="G9"/>
  <c r="M15" i="6"/>
  <c r="M25" s="1"/>
  <c r="R31"/>
  <c r="N42" i="15"/>
  <c r="O42" s="1"/>
  <c r="J69" s="1"/>
  <c r="H11" i="6" l="1"/>
  <c r="H45" s="1"/>
  <c r="G26" i="5"/>
  <c r="I36" i="6"/>
  <c r="E26" i="9" s="1"/>
  <c r="G45" i="6"/>
  <c r="I11"/>
  <c r="E11" i="9" s="1"/>
  <c r="E34" s="1"/>
  <c r="H26" i="5"/>
  <c r="E12" i="8"/>
  <c r="B48" i="15"/>
  <c r="P24" i="6"/>
  <c r="G24" i="9" s="1"/>
  <c r="N8" i="12"/>
  <c r="J20" i="15"/>
  <c r="N15" i="6"/>
  <c r="J21" i="15" l="1"/>
  <c r="J44" s="1"/>
  <c r="P11" i="6"/>
  <c r="G11" i="9" s="1"/>
  <c r="I45" i="6"/>
  <c r="P36"/>
  <c r="G26" i="9" s="1"/>
  <c r="K19" i="15"/>
  <c r="K21" s="1"/>
  <c r="M43" i="6"/>
  <c r="N45"/>
  <c r="R24"/>
  <c r="B53" i="15"/>
  <c r="C53" s="1"/>
  <c r="J68" s="1"/>
  <c r="J70" s="1"/>
  <c r="F47" l="1"/>
  <c r="G47" s="1"/>
  <c r="J67" s="1"/>
  <c r="K68" s="1"/>
  <c r="K70" s="1"/>
  <c r="K71" s="1"/>
  <c r="J71" s="1"/>
  <c r="O67" s="1"/>
  <c r="R36" i="6"/>
  <c r="F9" i="8" s="1"/>
  <c r="G10" s="1"/>
  <c r="J11" i="15"/>
  <c r="T11" i="6"/>
  <c r="E11" i="7" s="1"/>
  <c r="N9" i="12" s="1"/>
  <c r="E13" i="8"/>
  <c r="F13" s="1"/>
  <c r="G14" s="1"/>
  <c r="R44" i="6"/>
  <c r="U44" s="1"/>
  <c r="J45" i="15"/>
  <c r="P43" i="6"/>
  <c r="G33" i="9" s="1"/>
  <c r="G34" s="1"/>
  <c r="M45" i="6"/>
  <c r="H15" i="8" l="1"/>
  <c r="R45" i="6"/>
  <c r="T43"/>
  <c r="P45"/>
  <c r="K23" i="7"/>
  <c r="U45" i="6"/>
  <c r="N22" i="12" l="1"/>
  <c r="L23" i="7"/>
  <c r="M26" s="1"/>
  <c r="T45" i="6"/>
  <c r="E16" i="7"/>
  <c r="N13" i="12" l="1"/>
  <c r="F18" i="7"/>
  <c r="G26" s="1"/>
</calcChain>
</file>

<file path=xl/sharedStrings.xml><?xml version="1.0" encoding="utf-8"?>
<sst xmlns="http://schemas.openxmlformats.org/spreadsheetml/2006/main" count="574" uniqueCount="282">
  <si>
    <t>PROBLEMAS</t>
  </si>
  <si>
    <t>1.-</t>
  </si>
  <si>
    <t>INICIAMOS UN NEGOCIO CON LOS SIG. VALORES.</t>
  </si>
  <si>
    <t xml:space="preserve">CAJA </t>
  </si>
  <si>
    <t>BANCOS</t>
  </si>
  <si>
    <t>ALMACEN</t>
  </si>
  <si>
    <t>ARTICULOS</t>
  </si>
  <si>
    <t xml:space="preserve"> "A" DE</t>
  </si>
  <si>
    <t>C/U</t>
  </si>
  <si>
    <t>EQUIPO DE COMPUTO</t>
  </si>
  <si>
    <t>2.-</t>
  </si>
  <si>
    <t xml:space="preserve">SE COMPRAN </t>
  </si>
  <si>
    <t>ARTICULOS"A" a</t>
  </si>
  <si>
    <t>C/U MAS IVA</t>
  </si>
  <si>
    <t>DEL</t>
  </si>
  <si>
    <t>NOS HACEN DESCUENTO DEL</t>
  </si>
  <si>
    <t>; SE PAGA EL</t>
  </si>
  <si>
    <t>3.-</t>
  </si>
  <si>
    <t>LA COMPRA ANTERIOR ORIGINO GASTOS POR</t>
  </si>
  <si>
    <t>MAS IVA DEL</t>
  </si>
  <si>
    <t>QUE SE PAGA EN EFECTIVO.</t>
  </si>
  <si>
    <t>4.-</t>
  </si>
  <si>
    <t xml:space="preserve">SE VENDE </t>
  </si>
  <si>
    <t>ARTICULOS "A" a</t>
  </si>
  <si>
    <t>; SE LE HACE UN DESCUENTO DEL</t>
  </si>
  <si>
    <t>; NOS PAGAN CON CHEQUE EL</t>
  </si>
  <si>
    <t>5.-</t>
  </si>
  <si>
    <t xml:space="preserve">SE PAGAN POR ANTICIPADO </t>
  </si>
  <si>
    <t>MESES DE LA RENTA DEL LOCAL POR</t>
  </si>
  <si>
    <t>C/MES MAS IVA DEL</t>
  </si>
  <si>
    <t>CON CHEQUE.</t>
  </si>
  <si>
    <t>6.-</t>
  </si>
  <si>
    <t>ARTICULOS "A"a</t>
  </si>
  <si>
    <t>C/U MAS IVA DEL</t>
  </si>
  <si>
    <t>A CREDITO.</t>
  </si>
  <si>
    <t>7.-</t>
  </si>
  <si>
    <t>SE PAGAN DIVERSOS GASTOS PARA INSTALAR EL ESTABLECIMIENTO POR</t>
  </si>
  <si>
    <t xml:space="preserve">MAS IVA DEL </t>
  </si>
  <si>
    <t>Y EL RESTO SE QUEDO A DEBER.</t>
  </si>
  <si>
    <t>8.-</t>
  </si>
  <si>
    <t>SE COMPRO PAPELERIA Y UTILES POR</t>
  </si>
  <si>
    <t xml:space="preserve"> QUE SE PAGO EN EFECTIVO </t>
  </si>
  <si>
    <t xml:space="preserve">PARA CONSUMO INMEDIATO QUE SE PAGO CON CHEQUE </t>
  </si>
  <si>
    <t xml:space="preserve">APLIQUE EL </t>
  </si>
  <si>
    <t>9.-</t>
  </si>
  <si>
    <t>ARTICULOS "A" EN</t>
  </si>
  <si>
    <t xml:space="preserve">C/U MAS IVA DEL </t>
  </si>
  <si>
    <t>NOS PAGAN EL</t>
  </si>
  <si>
    <t>CON CHEQUE</t>
  </si>
  <si>
    <t>10.-</t>
  </si>
  <si>
    <t>SE PAGAN LOS SUELDOS POR</t>
  </si>
  <si>
    <t>CON CHEQUE; CORRESPONDEN EL</t>
  </si>
  <si>
    <t>AL DEP. DE VENTAS Y</t>
  </si>
  <si>
    <t>AL DEP. DE ADMINISTRACION.</t>
  </si>
  <si>
    <t>AJUSTES</t>
  </si>
  <si>
    <t xml:space="preserve">SALDO DE LA CUENTA DE CAJA SEGÚN ARQUEO ES DE </t>
  </si>
  <si>
    <t>; LA DIFERENCIA SE DEBE A QUE  NO SE NOS HABIA REPORTADO</t>
  </si>
  <si>
    <t>EL PAGO  AL SR. TRUJILLO POR RECOGER BASURA.</t>
  </si>
  <si>
    <t>SALDO DE LA CUENTA DE BANCOS SEQUN ESTADOS DE CUENTA ES DE</t>
  </si>
  <si>
    <t xml:space="preserve">; LA DIFERENCIA SE DEBE QUE EL BANCO CARGO ALA </t>
  </si>
  <si>
    <t xml:space="preserve">CUENTA EL IMPORTE DE UNA CAJA DE SEGURIDAD MAS EL </t>
  </si>
  <si>
    <t>DE IVA.</t>
  </si>
  <si>
    <t xml:space="preserve">EL INVENTARIO FINAL DE MERCANCIAS ES DE </t>
  </si>
  <si>
    <t xml:space="preserve">; LA DIFERENCIA SE DEBE A QUE EL CLIENTE DE LA ULTIMA VENTA (ASIENTO 9) </t>
  </si>
  <si>
    <t xml:space="preserve">DEVOLVIO </t>
  </si>
  <si>
    <t>ARTICULO "A" Y NO SE NOS HABIA REPORTADO ; EL IMPORTE DE LA DEVOLUCION SE ABONA A LA CUENTA DE CLIENTES.</t>
  </si>
  <si>
    <t xml:space="preserve">SE ESTIMA UN COBRO DUDOSO DE EL </t>
  </si>
  <si>
    <t>DE LA CUENTA DE CLIENTES.</t>
  </si>
  <si>
    <t xml:space="preserve">5.- </t>
  </si>
  <si>
    <t xml:space="preserve">CALCULE EL </t>
  </si>
  <si>
    <t xml:space="preserve">SE TIENE DEVENGADO </t>
  </si>
  <si>
    <t>MES DE LAS RENTAS PAGADAS.</t>
  </si>
  <si>
    <t>CALCULE EL</t>
  </si>
  <si>
    <t>DE DEPRESACION</t>
  </si>
  <si>
    <t>DE EQUIPO DE COMPUTO Y APLIQUE</t>
  </si>
  <si>
    <t>EL</t>
  </si>
  <si>
    <t>DEP. DE ADMINISTRACION.</t>
  </si>
  <si>
    <t xml:space="preserve">DE AMORTIZACION DE GASTOS DE INSTALACION Y APLIQUE EL </t>
  </si>
  <si>
    <t xml:space="preserve">EL INVENTARIO FINAL DE PAPELERIA Y UTILES ES DE </t>
  </si>
  <si>
    <t>SE DEJA PENDIENTE DE PAGO EL RECIBO DEL AGUA POR</t>
  </si>
  <si>
    <t>10..-</t>
  </si>
  <si>
    <t>11.-</t>
  </si>
  <si>
    <t>REALIZAR AJUSTES PARA DETERMINAR EL IVA A PAGAR O A FAVOR.</t>
  </si>
  <si>
    <t>SE PIDE</t>
  </si>
  <si>
    <t>1-</t>
  </si>
  <si>
    <t>REGISTRAR LAS OPERACIONES UTILIZANDO EL METODO DE INVENTARIOS PERPETUOS.</t>
  </si>
  <si>
    <t>VALUAR LOS INVENTARIOS UTILIZANDO EL METODO DE COSTOS PROMEDIOS</t>
  </si>
  <si>
    <t>ELABORAR LA HOJA DE TRABAJO</t>
  </si>
  <si>
    <t xml:space="preserve">4.- </t>
  </si>
  <si>
    <t>PRESENTAR EL ESTADO DE RESULTADOS, BALANCE GENERAL Y FLUJO DE EFECTIVO POR SEPARADO.</t>
  </si>
  <si>
    <t>COMERCIAL DEL NORTE S.A DE C.V</t>
  </si>
  <si>
    <t>BALANZA DE COMPROBACION</t>
  </si>
  <si>
    <t>N° DE FOLIO</t>
  </si>
  <si>
    <t>NOMBRE DE LA CUENTA</t>
  </si>
  <si>
    <t>MOVIMIENTOS</t>
  </si>
  <si>
    <t>DEUDOR</t>
  </si>
  <si>
    <t>ACREEDOR</t>
  </si>
  <si>
    <t>SALDOS</t>
  </si>
  <si>
    <t>SUMAS IGUALES</t>
  </si>
  <si>
    <t>ESQUEMAS DE MAYOR</t>
  </si>
  <si>
    <t>HOJA DE TRABAJO</t>
  </si>
  <si>
    <t>NOMBRES DEL LAS CUENTAS</t>
  </si>
  <si>
    <t>N° DE CUENTA</t>
  </si>
  <si>
    <t>FOLIO DE MAYOR</t>
  </si>
  <si>
    <t>DEBE</t>
  </si>
  <si>
    <t>HABER</t>
  </si>
  <si>
    <t>CLAVE</t>
  </si>
  <si>
    <t>CARGOS</t>
  </si>
  <si>
    <t>ABONOS</t>
  </si>
  <si>
    <t>SALDOS AJUSTADOS</t>
  </si>
  <si>
    <t>PERDIDAS Y GANANCIAS</t>
  </si>
  <si>
    <t>BALANCE GENERAL</t>
  </si>
  <si>
    <t>ACTIVO</t>
  </si>
  <si>
    <t>PASIVO</t>
  </si>
  <si>
    <t>CORRESPONDIENTE DEL 01 DE ABRIL AL 30 DE ABRIL DEL PRESENTE AÑO</t>
  </si>
  <si>
    <t>CIRCULANTE</t>
  </si>
  <si>
    <t>TOTAL CIRCULANTE</t>
  </si>
  <si>
    <t>NO CIRCULANTE</t>
  </si>
  <si>
    <t>TOTAL NO CIRCULANTE</t>
  </si>
  <si>
    <t>TOTAL ACTIVO</t>
  </si>
  <si>
    <t>CORTO PLAZO</t>
  </si>
  <si>
    <t>TOTAL PASIVO</t>
  </si>
  <si>
    <t>CAPITAL</t>
  </si>
  <si>
    <t>CONTRIBUIDO</t>
  </si>
  <si>
    <t>GANADO</t>
  </si>
  <si>
    <t>UTILIDA DEL EJERCICIO</t>
  </si>
  <si>
    <t>A= P+C</t>
  </si>
  <si>
    <t>NOTAS ACLARATORIAS</t>
  </si>
  <si>
    <t xml:space="preserve">LAS NOTAS QUE SE ADJUNTAN DE BAJO INTEGRAN AL PRESENTE ESTADO FINANCIERO </t>
  </si>
  <si>
    <t>NOTA</t>
  </si>
  <si>
    <t>N°1</t>
  </si>
  <si>
    <t>ESTADO DE RESULTADO</t>
  </si>
  <si>
    <t>DEL 01 DE ABRIL AL 30 DE ABRIL DEL PRESENTE AÑO</t>
  </si>
  <si>
    <t>BALANZA COMPARATIVA</t>
  </si>
  <si>
    <t>NOMBRE DE LAS CUENTAS</t>
  </si>
  <si>
    <t xml:space="preserve">DEUDOR </t>
  </si>
  <si>
    <t>TARJETA DE ALMACEN</t>
  </si>
  <si>
    <t>ARTICULO</t>
  </si>
  <si>
    <t>CASILLERO N°</t>
  </si>
  <si>
    <t>UNIDAD</t>
  </si>
  <si>
    <t>CLAVE DEL ARTICULO</t>
  </si>
  <si>
    <t>N°</t>
  </si>
  <si>
    <t>PROVEEDOR</t>
  </si>
  <si>
    <t>LIMITES</t>
  </si>
  <si>
    <t>REVISADOS</t>
  </si>
  <si>
    <t>FECHA</t>
  </si>
  <si>
    <t>MINIMO</t>
  </si>
  <si>
    <t>MAXIMO</t>
  </si>
  <si>
    <t>"A"</t>
  </si>
  <si>
    <t>L1A</t>
  </si>
  <si>
    <t>UNIDADES</t>
  </si>
  <si>
    <t>ENTRADA</t>
  </si>
  <si>
    <t>SALIDA</t>
  </si>
  <si>
    <t>EXISTENCIA</t>
  </si>
  <si>
    <t>COSTOS</t>
  </si>
  <si>
    <t>UNITARIO</t>
  </si>
  <si>
    <t>MEDIO</t>
  </si>
  <si>
    <t>VALORES</t>
  </si>
  <si>
    <t>SALDO</t>
  </si>
  <si>
    <t>CAJA</t>
  </si>
  <si>
    <t>EQ.DE COMPUTO</t>
  </si>
  <si>
    <t>PROVEEDORES</t>
  </si>
  <si>
    <t>IVA ACREDITADO</t>
  </si>
  <si>
    <t>IVA PTE.ACREDITAR</t>
  </si>
  <si>
    <t>VENTAS</t>
  </si>
  <si>
    <t>IVA  TRASLADADO</t>
  </si>
  <si>
    <t>IVA PTE. TRASLADAR</t>
  </si>
  <si>
    <t>CLIENTES</t>
  </si>
  <si>
    <t>RENT. PAG. X ANT.</t>
  </si>
  <si>
    <t>ACREEDORES D.</t>
  </si>
  <si>
    <t>GTOS. VENTA</t>
  </si>
  <si>
    <t>GTOS. ADMON.</t>
  </si>
  <si>
    <t>GTOS. INSTALACION</t>
  </si>
  <si>
    <t>COSTO DE VENTA</t>
  </si>
  <si>
    <t xml:space="preserve">CON CHEQUE Y EL </t>
  </si>
  <si>
    <t>A CREDITO</t>
  </si>
  <si>
    <t>(1</t>
  </si>
  <si>
    <t>1)</t>
  </si>
  <si>
    <t>2)</t>
  </si>
  <si>
    <t>(2</t>
  </si>
  <si>
    <t>3)</t>
  </si>
  <si>
    <t>(3</t>
  </si>
  <si>
    <t>(4</t>
  </si>
  <si>
    <t>4)</t>
  </si>
  <si>
    <t xml:space="preserve">Y EL </t>
  </si>
  <si>
    <t>5)</t>
  </si>
  <si>
    <t>(5</t>
  </si>
  <si>
    <t>6)</t>
  </si>
  <si>
    <t>(6</t>
  </si>
  <si>
    <t>(7</t>
  </si>
  <si>
    <t>7)</t>
  </si>
  <si>
    <t xml:space="preserve">AL DEPARTAMENTOS DE VENTAS Y EL </t>
  </si>
  <si>
    <t>ADMINISTRACION</t>
  </si>
  <si>
    <t>8)</t>
  </si>
  <si>
    <t>(8</t>
  </si>
  <si>
    <t>(9</t>
  </si>
  <si>
    <t>Y EL</t>
  </si>
  <si>
    <t>9)</t>
  </si>
  <si>
    <t xml:space="preserve"> </t>
  </si>
  <si>
    <t>(10</t>
  </si>
  <si>
    <t>10)</t>
  </si>
  <si>
    <t>IVA PEND. ACREDITAR</t>
  </si>
  <si>
    <t>RENT. PAG. X ANTICIPADO</t>
  </si>
  <si>
    <t>IVA TRASLADADO</t>
  </si>
  <si>
    <t>ACREEDORES DIVERSOS</t>
  </si>
  <si>
    <t>GASTOS DE VENTA</t>
  </si>
  <si>
    <t>GASTOS DE ADMON</t>
  </si>
  <si>
    <t>GASTOS DE INSTALACION</t>
  </si>
  <si>
    <t>IVA PEND. TRASLADAR</t>
  </si>
  <si>
    <t>RENTAS PAG. X ANTICIPADO</t>
  </si>
  <si>
    <t>GASTOS DE ADMINISTRACION</t>
  </si>
  <si>
    <t>COSTO DE VENTAS</t>
  </si>
  <si>
    <t>ESTIMACION DE COBRO D. CLIENTES</t>
  </si>
  <si>
    <t>DEP. ACUMULADA DE EQ. DE COMPUTO</t>
  </si>
  <si>
    <t>AMORTIZACION ACUM. DE GSTOS INST.</t>
  </si>
  <si>
    <t>PAPELERIA  Y UTILES</t>
  </si>
  <si>
    <t>GASTOS Y PRODUCTOS FINANCIEROS</t>
  </si>
  <si>
    <t>DEUDORES DIVERSOS</t>
  </si>
  <si>
    <t>IVA A FAVOR</t>
  </si>
  <si>
    <t>UTILIDAD NETA</t>
  </si>
  <si>
    <t>3A.-</t>
  </si>
  <si>
    <t xml:space="preserve">AL DEP. DE VENTAS Y EL </t>
  </si>
  <si>
    <t>AL DEP. DE VENTAS Y EL</t>
  </si>
  <si>
    <t>INTERESES POR COBRAR A CLIENTES</t>
  </si>
  <si>
    <t>EST. COB. DUDOS CLIENTES</t>
  </si>
  <si>
    <t>DEP. ACM. DE EQ. COMP.</t>
  </si>
  <si>
    <t>AMORTIZ. ACM. GTOS. INST.</t>
  </si>
  <si>
    <t>IVA PEND. TRANSLADAR</t>
  </si>
  <si>
    <t>PAPELERIA Y UTILES</t>
  </si>
  <si>
    <t xml:space="preserve">VENTAS </t>
  </si>
  <si>
    <t>UTILIDAD BRUTA</t>
  </si>
  <si>
    <t>GASTOS GENERALES</t>
  </si>
  <si>
    <t>GASTOS DE ADMON.</t>
  </si>
  <si>
    <t>RIF</t>
  </si>
  <si>
    <t>UTILIDAD DEL EJERCICIO</t>
  </si>
  <si>
    <t>RESULTADO INTEGRAL DE FINANCIAMIENTO</t>
  </si>
  <si>
    <t>(RIF)</t>
  </si>
  <si>
    <t xml:space="preserve">INTERESES POR COBRAR </t>
  </si>
  <si>
    <t>RENT. PAG. X ANTIC.</t>
  </si>
  <si>
    <t>PAGOS ANTICIPADOS</t>
  </si>
  <si>
    <t>RENTAS PAGADAS POR ANTICIPADO</t>
  </si>
  <si>
    <t>GTOS. Y PROD. FIN.</t>
  </si>
  <si>
    <t>(A1</t>
  </si>
  <si>
    <t>(A2</t>
  </si>
  <si>
    <t>A3)</t>
  </si>
  <si>
    <t>(A11</t>
  </si>
  <si>
    <t>A2)</t>
  </si>
  <si>
    <t>A11)</t>
  </si>
  <si>
    <t>(A10</t>
  </si>
  <si>
    <t>(A3</t>
  </si>
  <si>
    <t>(A5</t>
  </si>
  <si>
    <t>(A8</t>
  </si>
  <si>
    <t>A4)</t>
  </si>
  <si>
    <t>A5)</t>
  </si>
  <si>
    <t>A6)</t>
  </si>
  <si>
    <t>A7)</t>
  </si>
  <si>
    <t>A9)</t>
  </si>
  <si>
    <t>A1)</t>
  </si>
  <si>
    <t>EST. COB.D. CLIENTES</t>
  </si>
  <si>
    <t>(A4</t>
  </si>
  <si>
    <t>DEP.ACM.EQ. DE COMP.</t>
  </si>
  <si>
    <t>AMORT. ACM. GTOS. INST</t>
  </si>
  <si>
    <t>(A7</t>
  </si>
  <si>
    <t>(A6</t>
  </si>
  <si>
    <t>A8)</t>
  </si>
  <si>
    <t>A10)</t>
  </si>
  <si>
    <t>(A12</t>
  </si>
  <si>
    <t>A12)</t>
  </si>
  <si>
    <t>A13)</t>
  </si>
  <si>
    <t>(A13</t>
  </si>
  <si>
    <t>CARGO</t>
  </si>
  <si>
    <t>ABONO</t>
  </si>
  <si>
    <t>4A</t>
  </si>
  <si>
    <t>RENT. PAG. POR ANTIC.</t>
  </si>
  <si>
    <t xml:space="preserve">BANCOS </t>
  </si>
  <si>
    <t>9A</t>
  </si>
  <si>
    <t>PARCIAL</t>
  </si>
  <si>
    <t>N° ASIENTO</t>
  </si>
  <si>
    <t>EQ. DE COMPUTO</t>
  </si>
  <si>
    <t>CUENTAS</t>
  </si>
  <si>
    <t>ANALISIS</t>
  </si>
  <si>
    <t>sumas iguales</t>
  </si>
</sst>
</file>

<file path=xl/styles.xml><?xml version="1.0" encoding="utf-8"?>
<styleSheet xmlns="http://schemas.openxmlformats.org/spreadsheetml/2006/main">
  <numFmts count="2">
    <numFmt numFmtId="6" formatCode="&quot;$&quot;#,##0;[Red]\-&quot;$&quot;#,##0"/>
    <numFmt numFmtId="8" formatCode="&quot;$&quot;#,##0.00;[Red]\-&quot;$&quot;#,##0.00"/>
  </numFmts>
  <fonts count="25">
    <font>
      <sz val="11"/>
      <color theme="1"/>
      <name val="Palatino Linotype"/>
      <family val="2"/>
      <scheme val="minor"/>
    </font>
    <font>
      <sz val="12"/>
      <color theme="1"/>
      <name val="Palatino Linotype"/>
      <family val="2"/>
      <scheme val="minor"/>
    </font>
    <font>
      <sz val="11"/>
      <color rgb="FF00B0F0"/>
      <name val="Palatino Linotype"/>
      <family val="2"/>
      <scheme val="minor"/>
    </font>
    <font>
      <sz val="16"/>
      <color theme="1"/>
      <name val="Palatino Linotype"/>
      <family val="2"/>
      <scheme val="minor"/>
    </font>
    <font>
      <sz val="11"/>
      <color rgb="FFFF0000"/>
      <name val="Palatino Linotype"/>
      <family val="2"/>
      <scheme val="minor"/>
    </font>
    <font>
      <sz val="11"/>
      <color theme="2" tint="-0.249977111117893"/>
      <name val="Palatino Linotype"/>
      <family val="2"/>
      <scheme val="minor"/>
    </font>
    <font>
      <sz val="11"/>
      <color rgb="FF00B050"/>
      <name val="Palatino Linotype"/>
      <family val="2"/>
      <scheme val="minor"/>
    </font>
    <font>
      <b/>
      <sz val="11"/>
      <color theme="2" tint="-0.89999084444715716"/>
      <name val="Palatino Linotype"/>
      <family val="1"/>
      <scheme val="minor"/>
    </font>
    <font>
      <sz val="11"/>
      <color rgb="FF0070C0"/>
      <name val="Palatino Linotype"/>
      <family val="2"/>
      <scheme val="minor"/>
    </font>
    <font>
      <sz val="11"/>
      <color rgb="FF002060"/>
      <name val="Palatino Linotype"/>
      <family val="2"/>
      <scheme val="minor"/>
    </font>
    <font>
      <b/>
      <sz val="11"/>
      <color rgb="FFFF0000"/>
      <name val="Palatino Linotype"/>
      <family val="1"/>
      <scheme val="minor"/>
    </font>
    <font>
      <sz val="11"/>
      <color rgb="FFFF0000"/>
      <name val="Palatino Linotype"/>
      <family val="1"/>
      <scheme val="minor"/>
    </font>
    <font>
      <sz val="11"/>
      <color rgb="FF7030A0"/>
      <name val="Palatino Linotype"/>
      <family val="2"/>
      <scheme val="minor"/>
    </font>
    <font>
      <sz val="14"/>
      <color rgb="FFFF0000"/>
      <name val="Palatino Linotype"/>
      <family val="2"/>
      <scheme val="minor"/>
    </font>
    <font>
      <sz val="12"/>
      <color rgb="FFFF0000"/>
      <name val="Palatino Linotype"/>
      <family val="2"/>
      <scheme val="minor"/>
    </font>
    <font>
      <b/>
      <sz val="11"/>
      <color rgb="FF002060"/>
      <name val="Palatino Linotype"/>
      <family val="1"/>
      <scheme val="minor"/>
    </font>
    <font>
      <sz val="8"/>
      <color theme="1"/>
      <name val="Palatino Linotype"/>
      <family val="2"/>
      <scheme val="minor"/>
    </font>
    <font>
      <b/>
      <sz val="11"/>
      <color rgb="FF00B050"/>
      <name val="Palatino Linotype"/>
      <family val="1"/>
      <scheme val="minor"/>
    </font>
    <font>
      <b/>
      <sz val="11"/>
      <color rgb="FF7030A0"/>
      <name val="Palatino Linotype"/>
      <family val="1"/>
      <scheme val="minor"/>
    </font>
    <font>
      <sz val="11"/>
      <color theme="1" tint="4.9989318521683403E-2"/>
      <name val="Palatino Linotype"/>
      <family val="2"/>
      <scheme val="minor"/>
    </font>
    <font>
      <b/>
      <sz val="11"/>
      <color theme="3" tint="-0.499984740745262"/>
      <name val="Palatino Linotype"/>
      <family val="1"/>
      <scheme val="minor"/>
    </font>
    <font>
      <b/>
      <sz val="11"/>
      <color rgb="FF00B0F0"/>
      <name val="Palatino Linotype"/>
      <family val="1"/>
      <scheme val="minor"/>
    </font>
    <font>
      <b/>
      <sz val="11"/>
      <color theme="7" tint="-0.499984740745262"/>
      <name val="Palatino Linotype"/>
      <family val="1"/>
      <scheme val="minor"/>
    </font>
    <font>
      <sz val="11"/>
      <color rgb="FF7030A0"/>
      <name val="Palatino Linotype"/>
      <family val="1"/>
      <scheme val="minor"/>
    </font>
    <font>
      <b/>
      <sz val="11"/>
      <color theme="1"/>
      <name val="Palatino Linotype"/>
      <family val="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C2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7" xfId="0" applyBorder="1"/>
    <xf numFmtId="6" fontId="0" fillId="0" borderId="5" xfId="0" applyNumberFormat="1" applyBorder="1"/>
    <xf numFmtId="6" fontId="0" fillId="0" borderId="6" xfId="0" applyNumberFormat="1" applyBorder="1"/>
    <xf numFmtId="8" fontId="0" fillId="0" borderId="6" xfId="0" applyNumberFormat="1" applyBorder="1"/>
    <xf numFmtId="8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/>
    <xf numFmtId="6" fontId="0" fillId="0" borderId="0" xfId="0" applyNumberFormat="1" applyBorder="1"/>
    <xf numFmtId="0" fontId="0" fillId="0" borderId="18" xfId="0" applyBorder="1"/>
    <xf numFmtId="0" fontId="0" fillId="0" borderId="0" xfId="0" applyBorder="1" applyAlignment="1">
      <alignment horizontal="center"/>
    </xf>
    <xf numFmtId="8" fontId="0" fillId="0" borderId="5" xfId="0" applyNumberForma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22" xfId="0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3" fillId="0" borderId="12" xfId="0" applyFont="1" applyFill="1" applyBorder="1" applyAlignment="1"/>
    <xf numFmtId="0" fontId="3" fillId="0" borderId="0" xfId="0" applyFont="1" applyFill="1" applyBorder="1" applyAlignment="1"/>
    <xf numFmtId="0" fontId="0" fillId="0" borderId="0" xfId="0" applyFill="1"/>
    <xf numFmtId="0" fontId="0" fillId="0" borderId="7" xfId="0" applyFill="1" applyBorder="1"/>
    <xf numFmtId="6" fontId="0" fillId="0" borderId="7" xfId="0" applyNumberFormat="1" applyFill="1" applyBorder="1"/>
    <xf numFmtId="8" fontId="0" fillId="0" borderId="7" xfId="0" applyNumberFormat="1" applyFill="1" applyBorder="1"/>
    <xf numFmtId="0" fontId="0" fillId="0" borderId="0" xfId="0" applyFill="1" applyAlignment="1">
      <alignment horizontal="center"/>
    </xf>
    <xf numFmtId="0" fontId="0" fillId="0" borderId="7" xfId="0" applyNumberFormat="1" applyFill="1" applyBorder="1"/>
    <xf numFmtId="0" fontId="0" fillId="0" borderId="7" xfId="0" applyFill="1" applyBorder="1" applyAlignment="1">
      <alignment horizontal="right"/>
    </xf>
    <xf numFmtId="0" fontId="0" fillId="0" borderId="7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6" fontId="0" fillId="0" borderId="7" xfId="0" applyNumberFormat="1" applyFill="1" applyBorder="1" applyAlignment="1">
      <alignment horizontal="center"/>
    </xf>
    <xf numFmtId="8" fontId="0" fillId="0" borderId="7" xfId="0" applyNumberFormat="1" applyFill="1" applyBorder="1" applyAlignment="1">
      <alignment horizontal="center"/>
    </xf>
    <xf numFmtId="8" fontId="0" fillId="0" borderId="0" xfId="0" applyNumberFormat="1" applyFill="1"/>
    <xf numFmtId="0" fontId="0" fillId="0" borderId="0" xfId="0" applyNumberForma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ill="1" applyBorder="1"/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3" borderId="0" xfId="0" applyFont="1" applyFill="1"/>
    <xf numFmtId="0" fontId="7" fillId="3" borderId="0" xfId="0" applyFont="1" applyFill="1"/>
    <xf numFmtId="0" fontId="4" fillId="0" borderId="0" xfId="0" applyFont="1"/>
    <xf numFmtId="0" fontId="10" fillId="0" borderId="0" xfId="0" applyFont="1"/>
    <xf numFmtId="6" fontId="4" fillId="0" borderId="0" xfId="0" applyNumberFormat="1" applyFont="1"/>
    <xf numFmtId="20" fontId="4" fillId="0" borderId="0" xfId="0" applyNumberFormat="1" applyFont="1"/>
    <xf numFmtId="0" fontId="12" fillId="4" borderId="0" xfId="0" applyFont="1" applyFill="1"/>
    <xf numFmtId="6" fontId="12" fillId="4" borderId="7" xfId="0" applyNumberFormat="1" applyFont="1" applyFill="1" applyBorder="1"/>
    <xf numFmtId="0" fontId="12" fillId="4" borderId="7" xfId="0" applyFont="1" applyFill="1" applyBorder="1"/>
    <xf numFmtId="9" fontId="12" fillId="4" borderId="7" xfId="0" applyNumberFormat="1" applyFont="1" applyFill="1" applyBorder="1"/>
    <xf numFmtId="0" fontId="4" fillId="0" borderId="7" xfId="0" applyFont="1" applyBorder="1"/>
    <xf numFmtId="0" fontId="0" fillId="0" borderId="7" xfId="0" applyBorder="1"/>
    <xf numFmtId="0" fontId="10" fillId="0" borderId="7" xfId="0" applyFont="1" applyBorder="1"/>
    <xf numFmtId="0" fontId="12" fillId="0" borderId="7" xfId="0" applyFont="1" applyBorder="1"/>
    <xf numFmtId="6" fontId="12" fillId="0" borderId="7" xfId="0" applyNumberFormat="1" applyFont="1" applyBorder="1"/>
    <xf numFmtId="9" fontId="12" fillId="0" borderId="7" xfId="0" applyNumberFormat="1" applyFont="1" applyBorder="1" applyAlignment="1">
      <alignment horizontal="right"/>
    </xf>
    <xf numFmtId="9" fontId="12" fillId="0" borderId="7" xfId="0" applyNumberFormat="1" applyFont="1" applyBorder="1"/>
    <xf numFmtId="0" fontId="12" fillId="0" borderId="7" xfId="0" applyFont="1" applyBorder="1" applyAlignment="1"/>
    <xf numFmtId="9" fontId="12" fillId="0" borderId="7" xfId="0" applyNumberFormat="1" applyFont="1" applyBorder="1" applyAlignment="1"/>
    <xf numFmtId="9" fontId="4" fillId="0" borderId="7" xfId="0" applyNumberFormat="1" applyFont="1" applyBorder="1"/>
    <xf numFmtId="6" fontId="4" fillId="0" borderId="7" xfId="0" applyNumberFormat="1" applyFont="1" applyBorder="1"/>
    <xf numFmtId="0" fontId="13" fillId="0" borderId="7" xfId="0" applyFont="1" applyFill="1" applyBorder="1" applyAlignment="1"/>
    <xf numFmtId="6" fontId="12" fillId="0" borderId="10" xfId="0" applyNumberFormat="1" applyFont="1" applyBorder="1"/>
    <xf numFmtId="0" fontId="4" fillId="0" borderId="0" xfId="0" applyFont="1" applyBorder="1"/>
    <xf numFmtId="0" fontId="12" fillId="0" borderId="10" xfId="0" applyFont="1" applyBorder="1"/>
    <xf numFmtId="0" fontId="4" fillId="0" borderId="24" xfId="0" applyFont="1" applyBorder="1"/>
    <xf numFmtId="0" fontId="4" fillId="0" borderId="23" xfId="0" applyFont="1" applyBorder="1"/>
    <xf numFmtId="0" fontId="14" fillId="0" borderId="0" xfId="0" applyFont="1" applyBorder="1"/>
    <xf numFmtId="0" fontId="12" fillId="0" borderId="0" xfId="0" applyFont="1" applyBorder="1"/>
    <xf numFmtId="0" fontId="4" fillId="0" borderId="10" xfId="0" applyFont="1" applyBorder="1"/>
    <xf numFmtId="9" fontId="12" fillId="4" borderId="24" xfId="0" applyNumberFormat="1" applyFont="1" applyFill="1" applyBorder="1"/>
    <xf numFmtId="0" fontId="12" fillId="4" borderId="24" xfId="0" applyFont="1" applyFill="1" applyBorder="1"/>
    <xf numFmtId="0" fontId="12" fillId="4" borderId="0" xfId="0" applyFont="1" applyFill="1" applyBorder="1"/>
    <xf numFmtId="6" fontId="12" fillId="4" borderId="5" xfId="0" applyNumberFormat="1" applyFont="1" applyFill="1" applyBorder="1"/>
    <xf numFmtId="0" fontId="6" fillId="0" borderId="6" xfId="0" applyFont="1" applyBorder="1"/>
    <xf numFmtId="0" fontId="9" fillId="0" borderId="19" xfId="0" applyFont="1" applyBorder="1"/>
    <xf numFmtId="0" fontId="9" fillId="0" borderId="18" xfId="0" applyFont="1" applyBorder="1"/>
    <xf numFmtId="0" fontId="9" fillId="0" borderId="5" xfId="0" applyFont="1" applyBorder="1"/>
    <xf numFmtId="0" fontId="9" fillId="0" borderId="25" xfId="0" applyFont="1" applyBorder="1"/>
    <xf numFmtId="0" fontId="9" fillId="0" borderId="0" xfId="0" applyFont="1" applyBorder="1"/>
    <xf numFmtId="0" fontId="9" fillId="0" borderId="6" xfId="0" applyFont="1" applyBorder="1"/>
    <xf numFmtId="0" fontId="9" fillId="0" borderId="26" xfId="0" applyFont="1" applyBorder="1"/>
    <xf numFmtId="0" fontId="9" fillId="0" borderId="4" xfId="0" applyFont="1" applyBorder="1"/>
    <xf numFmtId="0" fontId="9" fillId="0" borderId="17" xfId="0" applyFont="1" applyBorder="1"/>
    <xf numFmtId="0" fontId="15" fillId="5" borderId="7" xfId="0" applyFont="1" applyFill="1" applyBorder="1"/>
    <xf numFmtId="6" fontId="0" fillId="0" borderId="7" xfId="0" applyNumberFormat="1" applyBorder="1"/>
    <xf numFmtId="9" fontId="0" fillId="0" borderId="7" xfId="0" applyNumberFormat="1" applyBorder="1"/>
    <xf numFmtId="20" fontId="0" fillId="0" borderId="7" xfId="0" applyNumberFormat="1" applyBorder="1"/>
    <xf numFmtId="0" fontId="0" fillId="5" borderId="7" xfId="0" applyFill="1" applyBorder="1"/>
    <xf numFmtId="0" fontId="0" fillId="0" borderId="8" xfId="0" applyBorder="1"/>
    <xf numFmtId="0" fontId="0" fillId="5" borderId="24" xfId="0" applyFill="1" applyBorder="1"/>
    <xf numFmtId="0" fontId="0" fillId="0" borderId="24" xfId="0" applyBorder="1"/>
    <xf numFmtId="0" fontId="0" fillId="5" borderId="23" xfId="0" applyFill="1" applyBorder="1"/>
    <xf numFmtId="6" fontId="0" fillId="0" borderId="23" xfId="0" applyNumberFormat="1" applyBorder="1"/>
    <xf numFmtId="0" fontId="0" fillId="0" borderId="23" xfId="0" applyBorder="1"/>
    <xf numFmtId="9" fontId="0" fillId="0" borderId="24" xfId="0" applyNumberFormat="1" applyBorder="1"/>
    <xf numFmtId="0" fontId="16" fillId="5" borderId="7" xfId="0" applyFont="1" applyFill="1" applyBorder="1"/>
    <xf numFmtId="0" fontId="16" fillId="5" borderId="0" xfId="0" applyFont="1" applyFill="1"/>
    <xf numFmtId="0" fontId="15" fillId="5" borderId="4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6" fontId="6" fillId="2" borderId="5" xfId="0" applyNumberFormat="1" applyFont="1" applyFill="1" applyBorder="1"/>
    <xf numFmtId="6" fontId="6" fillId="2" borderId="0" xfId="0" applyNumberFormat="1" applyFont="1" applyFill="1"/>
    <xf numFmtId="6" fontId="6" fillId="2" borderId="17" xfId="0" applyNumberFormat="1" applyFont="1" applyFill="1" applyBorder="1"/>
    <xf numFmtId="6" fontId="6" fillId="2" borderId="4" xfId="0" applyNumberFormat="1" applyFont="1" applyFill="1" applyBorder="1"/>
    <xf numFmtId="6" fontId="6" fillId="2" borderId="10" xfId="0" applyNumberFormat="1" applyFont="1" applyFill="1" applyBorder="1"/>
    <xf numFmtId="6" fontId="6" fillId="2" borderId="9" xfId="0" applyNumberFormat="1" applyFont="1" applyFill="1" applyBorder="1"/>
    <xf numFmtId="6" fontId="6" fillId="2" borderId="6" xfId="0" applyNumberFormat="1" applyFont="1" applyFill="1" applyBorder="1"/>
    <xf numFmtId="0" fontId="6" fillId="2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8" fontId="4" fillId="0" borderId="0" xfId="0" applyNumberFormat="1" applyFont="1"/>
    <xf numFmtId="6" fontId="0" fillId="2" borderId="5" xfId="0" applyNumberFormat="1" applyFill="1" applyBorder="1"/>
    <xf numFmtId="0" fontId="0" fillId="2" borderId="0" xfId="0" applyFill="1"/>
    <xf numFmtId="0" fontId="0" fillId="2" borderId="6" xfId="0" applyFill="1" applyBorder="1"/>
    <xf numFmtId="0" fontId="0" fillId="2" borderId="17" xfId="0" applyFill="1" applyBorder="1"/>
    <xf numFmtId="6" fontId="0" fillId="2" borderId="0" xfId="0" applyNumberFormat="1" applyFill="1"/>
    <xf numFmtId="6" fontId="0" fillId="2" borderId="17" xfId="0" applyNumberFormat="1" applyFill="1" applyBorder="1"/>
    <xf numFmtId="0" fontId="0" fillId="2" borderId="4" xfId="0" applyFill="1" applyBorder="1"/>
    <xf numFmtId="0" fontId="0" fillId="2" borderId="5" xfId="0" applyFill="1" applyBorder="1"/>
    <xf numFmtId="0" fontId="6" fillId="2" borderId="5" xfId="0" applyFont="1" applyFill="1" applyBorder="1"/>
    <xf numFmtId="0" fontId="6" fillId="2" borderId="6" xfId="0" applyFont="1" applyFill="1" applyBorder="1"/>
    <xf numFmtId="8" fontId="6" fillId="2" borderId="17" xfId="0" applyNumberFormat="1" applyFont="1" applyFill="1" applyBorder="1"/>
    <xf numFmtId="8" fontId="6" fillId="2" borderId="0" xfId="0" applyNumberFormat="1" applyFont="1" applyFill="1"/>
    <xf numFmtId="0" fontId="6" fillId="2" borderId="4" xfId="0" applyFont="1" applyFill="1" applyBorder="1"/>
    <xf numFmtId="0" fontId="6" fillId="2" borderId="17" xfId="0" applyFont="1" applyFill="1" applyBorder="1"/>
    <xf numFmtId="8" fontId="6" fillId="2" borderId="9" xfId="0" applyNumberFormat="1" applyFont="1" applyFill="1" applyBorder="1"/>
    <xf numFmtId="8" fontId="6" fillId="2" borderId="6" xfId="0" applyNumberFormat="1" applyFont="1" applyFill="1" applyBorder="1"/>
    <xf numFmtId="6" fontId="6" fillId="2" borderId="19" xfId="0" applyNumberFormat="1" applyFont="1" applyFill="1" applyBorder="1"/>
    <xf numFmtId="0" fontId="4" fillId="2" borderId="6" xfId="0" applyFont="1" applyFill="1" applyBorder="1"/>
    <xf numFmtId="6" fontId="4" fillId="2" borderId="6" xfId="0" applyNumberFormat="1" applyFont="1" applyFill="1" applyBorder="1"/>
    <xf numFmtId="8" fontId="4" fillId="2" borderId="6" xfId="0" applyNumberFormat="1" applyFont="1" applyFill="1" applyBorder="1"/>
    <xf numFmtId="0" fontId="4" fillId="2" borderId="0" xfId="0" applyFont="1" applyFill="1"/>
    <xf numFmtId="0" fontId="6" fillId="7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2" borderId="10" xfId="0" applyFont="1" applyFill="1" applyBorder="1"/>
    <xf numFmtId="6" fontId="4" fillId="2" borderId="0" xfId="0" applyNumberFormat="1" applyFont="1" applyFill="1"/>
    <xf numFmtId="0" fontId="6" fillId="2" borderId="0" xfId="0" applyFont="1" applyFill="1"/>
    <xf numFmtId="0" fontId="0" fillId="2" borderId="0" xfId="0" applyFill="1"/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0" fillId="2" borderId="7" xfId="0" applyFill="1" applyBorder="1"/>
    <xf numFmtId="0" fontId="4" fillId="2" borderId="7" xfId="0" applyFont="1" applyFill="1" applyBorder="1"/>
    <xf numFmtId="0" fontId="6" fillId="2" borderId="7" xfId="0" applyFont="1" applyFill="1" applyBorder="1"/>
    <xf numFmtId="0" fontId="17" fillId="2" borderId="7" xfId="0" applyFont="1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2" fillId="2" borderId="7" xfId="0" applyFont="1" applyFill="1" applyBorder="1"/>
    <xf numFmtId="6" fontId="12" fillId="2" borderId="7" xfId="0" applyNumberFormat="1" applyFont="1" applyFill="1" applyBorder="1"/>
    <xf numFmtId="8" fontId="12" fillId="2" borderId="7" xfId="0" applyNumberFormat="1" applyFont="1" applyFill="1" applyBorder="1"/>
    <xf numFmtId="6" fontId="6" fillId="2" borderId="7" xfId="0" applyNumberFormat="1" applyFont="1" applyFill="1" applyBorder="1"/>
    <xf numFmtId="8" fontId="6" fillId="2" borderId="7" xfId="0" applyNumberFormat="1" applyFont="1" applyFill="1" applyBorder="1"/>
    <xf numFmtId="0" fontId="9" fillId="2" borderId="7" xfId="0" applyFont="1" applyFill="1" applyBorder="1"/>
    <xf numFmtId="6" fontId="9" fillId="2" borderId="7" xfId="0" applyNumberFormat="1" applyFont="1" applyFill="1" applyBorder="1"/>
    <xf numFmtId="8" fontId="9" fillId="2" borderId="7" xfId="0" applyNumberFormat="1" applyFont="1" applyFill="1" applyBorder="1"/>
    <xf numFmtId="0" fontId="6" fillId="2" borderId="0" xfId="0" applyNumberFormat="1" applyFont="1" applyFill="1"/>
    <xf numFmtId="0" fontId="6" fillId="2" borderId="0" xfId="0" applyFont="1" applyFill="1" applyAlignment="1">
      <alignment horizontal="left"/>
    </xf>
    <xf numFmtId="0" fontId="0" fillId="2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20" fillId="6" borderId="8" xfId="0" applyFont="1" applyFill="1" applyBorder="1" applyAlignment="1">
      <alignment horizontal="center"/>
    </xf>
    <xf numFmtId="0" fontId="20" fillId="6" borderId="9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/>
    </xf>
    <xf numFmtId="0" fontId="20" fillId="6" borderId="7" xfId="0" applyFont="1" applyFill="1" applyBorder="1"/>
    <xf numFmtId="0" fontId="20" fillId="6" borderId="7" xfId="0" applyFont="1" applyFill="1" applyBorder="1" applyAlignment="1">
      <alignment horizontal="center"/>
    </xf>
    <xf numFmtId="0" fontId="20" fillId="6" borderId="7" xfId="0" applyNumberFormat="1" applyFont="1" applyFill="1" applyBorder="1"/>
    <xf numFmtId="0" fontId="20" fillId="6" borderId="7" xfId="0" applyFont="1" applyFill="1" applyBorder="1" applyAlignment="1">
      <alignment horizontal="left"/>
    </xf>
    <xf numFmtId="0" fontId="20" fillId="6" borderId="7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center"/>
    </xf>
    <xf numFmtId="6" fontId="4" fillId="2" borderId="7" xfId="0" applyNumberFormat="1" applyFont="1" applyFill="1" applyBorder="1"/>
    <xf numFmtId="8" fontId="4" fillId="2" borderId="7" xfId="0" applyNumberFormat="1" applyFont="1" applyFill="1" applyBorder="1"/>
    <xf numFmtId="0" fontId="18" fillId="2" borderId="7" xfId="0" applyFont="1" applyFill="1" applyBorder="1"/>
    <xf numFmtId="6" fontId="18" fillId="2" borderId="7" xfId="0" applyNumberFormat="1" applyFont="1" applyFill="1" applyBorder="1"/>
    <xf numFmtId="8" fontId="18" fillId="2" borderId="7" xfId="0" applyNumberFormat="1" applyFont="1" applyFill="1" applyBorder="1"/>
    <xf numFmtId="0" fontId="6" fillId="0" borderId="7" xfId="0" applyFont="1" applyFill="1" applyBorder="1"/>
    <xf numFmtId="0" fontId="6" fillId="0" borderId="7" xfId="0" applyNumberFormat="1" applyFont="1" applyFill="1" applyBorder="1"/>
    <xf numFmtId="0" fontId="6" fillId="2" borderId="7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right"/>
    </xf>
    <xf numFmtId="6" fontId="9" fillId="2" borderId="7" xfId="0" applyNumberFormat="1" applyFont="1" applyFill="1" applyBorder="1" applyAlignment="1">
      <alignment horizontal="right"/>
    </xf>
    <xf numFmtId="8" fontId="9" fillId="2" borderId="7" xfId="0" applyNumberFormat="1" applyFont="1" applyFill="1" applyBorder="1" applyAlignment="1">
      <alignment horizontal="right"/>
    </xf>
    <xf numFmtId="8" fontId="9" fillId="2" borderId="7" xfId="0" applyNumberFormat="1" applyFont="1" applyFill="1" applyBorder="1" applyAlignment="1">
      <alignment horizontal="left"/>
    </xf>
    <xf numFmtId="6" fontId="9" fillId="2" borderId="7" xfId="0" applyNumberFormat="1" applyFont="1" applyFill="1" applyBorder="1" applyAlignment="1">
      <alignment horizontal="left"/>
    </xf>
    <xf numFmtId="0" fontId="21" fillId="2" borderId="7" xfId="0" applyFont="1" applyFill="1" applyBorder="1" applyAlignment="1">
      <alignment horizontal="center"/>
    </xf>
    <xf numFmtId="0" fontId="21" fillId="2" borderId="7" xfId="0" applyFont="1" applyFill="1" applyBorder="1"/>
    <xf numFmtId="6" fontId="21" fillId="2" borderId="7" xfId="0" applyNumberFormat="1" applyFont="1" applyFill="1" applyBorder="1"/>
    <xf numFmtId="8" fontId="21" fillId="2" borderId="7" xfId="0" applyNumberFormat="1" applyFont="1" applyFill="1" applyBorder="1"/>
    <xf numFmtId="0" fontId="19" fillId="2" borderId="7" xfId="0" applyFont="1" applyFill="1" applyBorder="1" applyAlignment="1">
      <alignment horizontal="center"/>
    </xf>
    <xf numFmtId="0" fontId="22" fillId="2" borderId="7" xfId="0" applyFont="1" applyFill="1" applyBorder="1" applyAlignment="1">
      <alignment horizontal="center"/>
    </xf>
    <xf numFmtId="0" fontId="22" fillId="2" borderId="7" xfId="0" applyFont="1" applyFill="1" applyBorder="1"/>
    <xf numFmtId="6" fontId="22" fillId="2" borderId="7" xfId="0" applyNumberFormat="1" applyFont="1" applyFill="1" applyBorder="1"/>
    <xf numFmtId="8" fontId="22" fillId="2" borderId="7" xfId="0" applyNumberFormat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19" fillId="2" borderId="8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6" fontId="0" fillId="2" borderId="7" xfId="0" applyNumberFormat="1" applyFill="1" applyBorder="1" applyAlignment="1">
      <alignment horizontal="center"/>
    </xf>
    <xf numFmtId="8" fontId="0" fillId="2" borderId="7" xfId="0" applyNumberForma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6" fontId="4" fillId="2" borderId="7" xfId="0" applyNumberFormat="1" applyFont="1" applyFill="1" applyBorder="1" applyAlignment="1">
      <alignment horizontal="center"/>
    </xf>
    <xf numFmtId="8" fontId="4" fillId="2" borderId="7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8" fontId="12" fillId="2" borderId="10" xfId="0" applyNumberFormat="1" applyFont="1" applyFill="1" applyBorder="1"/>
    <xf numFmtId="8" fontId="18" fillId="2" borderId="8" xfId="0" applyNumberFormat="1" applyFont="1" applyFill="1" applyBorder="1"/>
    <xf numFmtId="8" fontId="18" fillId="2" borderId="10" xfId="0" applyNumberFormat="1" applyFont="1" applyFill="1" applyBorder="1"/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8" fontId="4" fillId="2" borderId="0" xfId="0" applyNumberFormat="1" applyFont="1" applyFill="1"/>
    <xf numFmtId="6" fontId="4" fillId="2" borderId="4" xfId="0" applyNumberFormat="1" applyFont="1" applyFill="1" applyBorder="1"/>
    <xf numFmtId="8" fontId="0" fillId="2" borderId="0" xfId="0" applyNumberFormat="1" applyFont="1" applyFill="1"/>
    <xf numFmtId="6" fontId="0" fillId="2" borderId="7" xfId="0" applyNumberFormat="1" applyFont="1" applyFill="1" applyBorder="1" applyAlignment="1">
      <alignment horizontal="center"/>
    </xf>
    <xf numFmtId="8" fontId="24" fillId="2" borderId="7" xfId="0" applyNumberFormat="1" applyFont="1" applyFill="1" applyBorder="1"/>
    <xf numFmtId="0" fontId="17" fillId="2" borderId="7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2" fillId="0" borderId="7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right"/>
    </xf>
    <xf numFmtId="6" fontId="21" fillId="2" borderId="7" xfId="0" applyNumberFormat="1" applyFont="1" applyFill="1" applyBorder="1" applyAlignment="1">
      <alignment horizontal="right"/>
    </xf>
    <xf numFmtId="8" fontId="21" fillId="2" borderId="7" xfId="0" applyNumberFormat="1" applyFont="1" applyFill="1" applyBorder="1" applyAlignment="1">
      <alignment horizontal="right"/>
    </xf>
    <xf numFmtId="0" fontId="15" fillId="2" borderId="7" xfId="0" applyFont="1" applyFill="1" applyBorder="1"/>
    <xf numFmtId="6" fontId="11" fillId="2" borderId="7" xfId="0" applyNumberFormat="1" applyFont="1" applyFill="1" applyBorder="1"/>
    <xf numFmtId="0" fontId="11" fillId="2" borderId="7" xfId="0" applyFont="1" applyFill="1" applyBorder="1"/>
    <xf numFmtId="0" fontId="12" fillId="2" borderId="0" xfId="0" applyFont="1" applyFill="1"/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6" fontId="18" fillId="2" borderId="6" xfId="0" applyNumberFormat="1" applyFont="1" applyFill="1" applyBorder="1" applyAlignment="1">
      <alignment horizontal="right"/>
    </xf>
    <xf numFmtId="6" fontId="18" fillId="2" borderId="0" xfId="0" applyNumberFormat="1" applyFont="1" applyFill="1"/>
    <xf numFmtId="0" fontId="12" fillId="2" borderId="6" xfId="0" applyFont="1" applyFill="1" applyBorder="1"/>
    <xf numFmtId="0" fontId="12" fillId="2" borderId="17" xfId="0" applyFont="1" applyFill="1" applyBorder="1"/>
    <xf numFmtId="6" fontId="18" fillId="2" borderId="10" xfId="0" applyNumberFormat="1" applyFont="1" applyFill="1" applyBorder="1"/>
    <xf numFmtId="6" fontId="18" fillId="2" borderId="9" xfId="0" applyNumberFormat="1" applyFont="1" applyFill="1" applyBorder="1"/>
    <xf numFmtId="0" fontId="18" fillId="2" borderId="6" xfId="0" applyFont="1" applyFill="1" applyBorder="1"/>
    <xf numFmtId="0" fontId="18" fillId="2" borderId="17" xfId="0" applyFont="1" applyFill="1" applyBorder="1"/>
    <xf numFmtId="6" fontId="18" fillId="2" borderId="4" xfId="0" applyNumberFormat="1" applyFont="1" applyFill="1" applyBorder="1"/>
    <xf numFmtId="0" fontId="18" fillId="2" borderId="10" xfId="0" applyFont="1" applyFill="1" applyBorder="1"/>
    <xf numFmtId="6" fontId="18" fillId="2" borderId="21" xfId="0" applyNumberFormat="1" applyFont="1" applyFill="1" applyBorder="1"/>
    <xf numFmtId="6" fontId="18" fillId="2" borderId="20" xfId="0" applyNumberFormat="1" applyFont="1" applyFill="1" applyBorder="1"/>
    <xf numFmtId="6" fontId="18" fillId="2" borderId="6" xfId="0" applyNumberFormat="1" applyFont="1" applyFill="1" applyBorder="1"/>
    <xf numFmtId="8" fontId="12" fillId="2" borderId="17" xfId="0" applyNumberFormat="1" applyFont="1" applyFill="1" applyBorder="1"/>
    <xf numFmtId="8" fontId="12" fillId="2" borderId="6" xfId="0" applyNumberFormat="1" applyFont="1" applyFill="1" applyBorder="1"/>
    <xf numFmtId="8" fontId="18" fillId="2" borderId="17" xfId="0" applyNumberFormat="1" applyFont="1" applyFill="1" applyBorder="1"/>
    <xf numFmtId="8" fontId="18" fillId="2" borderId="6" xfId="0" applyNumberFormat="1" applyFont="1" applyFill="1" applyBorder="1"/>
    <xf numFmtId="8" fontId="18" fillId="2" borderId="9" xfId="0" applyNumberFormat="1" applyFont="1" applyFill="1" applyBorder="1"/>
    <xf numFmtId="8" fontId="18" fillId="2" borderId="0" xfId="0" applyNumberFormat="1" applyFont="1" applyFill="1"/>
    <xf numFmtId="0" fontId="12" fillId="2" borderId="9" xfId="0" applyFont="1" applyFill="1" applyBorder="1"/>
    <xf numFmtId="6" fontId="18" fillId="2" borderId="17" xfId="0" applyNumberFormat="1" applyFont="1" applyFill="1" applyBorder="1"/>
    <xf numFmtId="8" fontId="18" fillId="2" borderId="20" xfId="0" applyNumberFormat="1" applyFont="1" applyFill="1" applyBorder="1"/>
    <xf numFmtId="6" fontId="18" fillId="2" borderId="5" xfId="0" applyNumberFormat="1" applyFont="1" applyFill="1" applyBorder="1"/>
    <xf numFmtId="6" fontId="24" fillId="2" borderId="0" xfId="0" applyNumberFormat="1" applyFont="1" applyFill="1"/>
    <xf numFmtId="0" fontId="18" fillId="2" borderId="0" xfId="0" applyFont="1" applyFill="1"/>
    <xf numFmtId="8" fontId="24" fillId="2" borderId="9" xfId="0" applyNumberFormat="1" applyFont="1" applyFill="1" applyBorder="1"/>
    <xf numFmtId="8" fontId="24" fillId="2" borderId="10" xfId="0" applyNumberFormat="1" applyFont="1" applyFill="1" applyBorder="1"/>
    <xf numFmtId="0" fontId="18" fillId="2" borderId="4" xfId="0" applyFont="1" applyFill="1" applyBorder="1"/>
    <xf numFmtId="0" fontId="12" fillId="2" borderId="5" xfId="0" applyFont="1" applyFill="1" applyBorder="1"/>
    <xf numFmtId="0" fontId="18" fillId="2" borderId="5" xfId="0" applyFont="1" applyFill="1" applyBorder="1"/>
    <xf numFmtId="6" fontId="12" fillId="2" borderId="19" xfId="0" applyNumberFormat="1" applyFont="1" applyFill="1" applyBorder="1"/>
    <xf numFmtId="8" fontId="23" fillId="2" borderId="6" xfId="0" applyNumberFormat="1" applyFont="1" applyFill="1" applyBorder="1"/>
    <xf numFmtId="0" fontId="23" fillId="2" borderId="6" xfId="0" applyFont="1" applyFill="1" applyBorder="1"/>
    <xf numFmtId="0" fontId="23" fillId="2" borderId="17" xfId="0" applyFont="1" applyFill="1" applyBorder="1"/>
    <xf numFmtId="8" fontId="23" fillId="2" borderId="17" xfId="0" applyNumberFormat="1" applyFont="1" applyFill="1" applyBorder="1"/>
    <xf numFmtId="8" fontId="4" fillId="2" borderId="21" xfId="0" applyNumberFormat="1" applyFont="1" applyFill="1" applyBorder="1"/>
    <xf numFmtId="8" fontId="4" fillId="2" borderId="20" xfId="0" applyNumberFormat="1" applyFont="1" applyFill="1" applyBorder="1"/>
    <xf numFmtId="6" fontId="10" fillId="2" borderId="6" xfId="0" applyNumberFormat="1" applyFont="1" applyFill="1" applyBorder="1"/>
    <xf numFmtId="6" fontId="10" fillId="2" borderId="21" xfId="0" applyNumberFormat="1" applyFont="1" applyFill="1" applyBorder="1"/>
    <xf numFmtId="6" fontId="10" fillId="2" borderId="20" xfId="0" applyNumberFormat="1" applyFont="1" applyFill="1" applyBorder="1"/>
    <xf numFmtId="8" fontId="10" fillId="2" borderId="6" xfId="0" applyNumberFormat="1" applyFont="1" applyFill="1" applyBorder="1"/>
    <xf numFmtId="8" fontId="10" fillId="2" borderId="0" xfId="0" applyNumberFormat="1" applyFont="1" applyFill="1"/>
    <xf numFmtId="8" fontId="10" fillId="2" borderId="21" xfId="0" applyNumberFormat="1" applyFont="1" applyFill="1" applyBorder="1"/>
    <xf numFmtId="0" fontId="4" fillId="0" borderId="0" xfId="0" applyFont="1" applyBorder="1" applyAlignment="1">
      <alignment horizontal="center"/>
    </xf>
    <xf numFmtId="0" fontId="18" fillId="2" borderId="20" xfId="0" applyFont="1" applyFill="1" applyBorder="1"/>
    <xf numFmtId="0" fontId="18" fillId="0" borderId="21" xfId="0" applyFont="1" applyBorder="1"/>
    <xf numFmtId="0" fontId="18" fillId="2" borderId="0" xfId="0" applyFont="1" applyFill="1"/>
    <xf numFmtId="0" fontId="2" fillId="2" borderId="7" xfId="0" applyFont="1" applyFill="1" applyBorder="1" applyAlignment="1">
      <alignment horizontal="center"/>
    </xf>
    <xf numFmtId="14" fontId="2" fillId="2" borderId="7" xfId="0" applyNumberFormat="1" applyFont="1" applyFill="1" applyBorder="1" applyAlignment="1">
      <alignment horizontal="center"/>
    </xf>
    <xf numFmtId="6" fontId="17" fillId="2" borderId="7" xfId="0" applyNumberFormat="1" applyFont="1" applyFill="1" applyBorder="1"/>
    <xf numFmtId="8" fontId="17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C2D6"/>
      <color rgb="FF99FF66"/>
      <color rgb="FF990099"/>
      <color rgb="FF604E2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8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GRAFICA!$M$7</c:f>
              <c:strCache>
                <c:ptCount val="1"/>
                <c:pt idx="0">
                  <c:v>CAJA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val>
            <c:numRef>
              <c:f>GRAFICA!$N$7</c:f>
              <c:numCache>
                <c:formatCode>"$"#,##0;[Red]\-"$"#,##0</c:formatCode>
                <c:ptCount val="1"/>
                <c:pt idx="0">
                  <c:v>4130</c:v>
                </c:pt>
              </c:numCache>
            </c:numRef>
          </c:val>
        </c:ser>
        <c:ser>
          <c:idx val="1"/>
          <c:order val="1"/>
          <c:tx>
            <c:strRef>
              <c:f>GRAFICA!$M$8</c:f>
              <c:strCache>
                <c:ptCount val="1"/>
                <c:pt idx="0">
                  <c:v>BANCOS</c:v>
                </c:pt>
              </c:strCache>
            </c:strRef>
          </c:tx>
          <c:spPr>
            <a:solidFill>
              <a:schemeClr val="tx1"/>
            </a:solidFill>
          </c:spPr>
          <c:dPt>
            <c:idx val="0"/>
            <c:spPr>
              <a:solidFill>
                <a:srgbClr val="990099"/>
              </a:solidFill>
            </c:spPr>
          </c:dPt>
          <c:val>
            <c:numRef>
              <c:f>GRAFICA!$N$8</c:f>
              <c:numCache>
                <c:formatCode>"$"#,##0.00;[Red]\-"$"#,##0.00</c:formatCode>
                <c:ptCount val="1"/>
                <c:pt idx="0">
                  <c:v>90671</c:v>
                </c:pt>
              </c:numCache>
            </c:numRef>
          </c:val>
        </c:ser>
        <c:ser>
          <c:idx val="2"/>
          <c:order val="2"/>
          <c:tx>
            <c:strRef>
              <c:f>GRAFICA!$M$9</c:f>
              <c:strCache>
                <c:ptCount val="1"/>
                <c:pt idx="0">
                  <c:v>ALMACEN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val>
            <c:numRef>
              <c:f>GRAFICA!$N$9</c:f>
              <c:numCache>
                <c:formatCode>"$"#,##0.00;[Red]\-"$"#,##0.00</c:formatCode>
                <c:ptCount val="1"/>
                <c:pt idx="0">
                  <c:v>4806</c:v>
                </c:pt>
              </c:numCache>
            </c:numRef>
          </c:val>
        </c:ser>
        <c:ser>
          <c:idx val="3"/>
          <c:order val="3"/>
          <c:tx>
            <c:strRef>
              <c:f>GRAFICA!$M$10</c:f>
              <c:strCache>
                <c:ptCount val="1"/>
                <c:pt idx="0">
                  <c:v>CLIENTES</c:v>
                </c:pt>
              </c:strCache>
            </c:strRef>
          </c:tx>
          <c:spPr>
            <a:solidFill>
              <a:schemeClr val="bg1"/>
            </a:solidFill>
          </c:spPr>
          <c:val>
            <c:numRef>
              <c:f>GRAFICA!$N$10</c:f>
              <c:numCache>
                <c:formatCode>"$"#,##0.00;[Red]\-"$"#,##0.00</c:formatCode>
                <c:ptCount val="1"/>
                <c:pt idx="0">
                  <c:v>15899</c:v>
                </c:pt>
              </c:numCache>
            </c:numRef>
          </c:val>
        </c:ser>
        <c:ser>
          <c:idx val="4"/>
          <c:order val="4"/>
          <c:tx>
            <c:strRef>
              <c:f>GRAFICA!$M$11</c:f>
              <c:strCache>
                <c:ptCount val="1"/>
                <c:pt idx="0">
                  <c:v>IVA PEND. ACREDITAR</c:v>
                </c:pt>
              </c:strCache>
            </c:strRef>
          </c:tx>
          <c:spPr>
            <a:solidFill>
              <a:srgbClr val="7030A0"/>
            </a:solidFill>
          </c:spPr>
          <c:val>
            <c:numRef>
              <c:f>GRAFICA!$N$11</c:f>
              <c:numCache>
                <c:formatCode>"$"#,##0.00;[Red]\-"$"#,##0.00</c:formatCode>
                <c:ptCount val="1"/>
                <c:pt idx="0">
                  <c:v>1478</c:v>
                </c:pt>
              </c:numCache>
            </c:numRef>
          </c:val>
        </c:ser>
        <c:ser>
          <c:idx val="5"/>
          <c:order val="5"/>
          <c:tx>
            <c:strRef>
              <c:f>GRAFICA!$M$12</c:f>
              <c:strCache>
                <c:ptCount val="1"/>
                <c:pt idx="0">
                  <c:v>RENT. PAG. X ANTIC.</c:v>
                </c:pt>
              </c:strCache>
            </c:strRef>
          </c:tx>
          <c:spPr>
            <a:solidFill>
              <a:srgbClr val="00B050"/>
            </a:solidFill>
          </c:spPr>
          <c:val>
            <c:numRef>
              <c:f>GRAFICA!$N$12</c:f>
              <c:numCache>
                <c:formatCode>"$"#,##0.00;[Red]\-"$"#,##0.00</c:formatCode>
                <c:ptCount val="1"/>
                <c:pt idx="0">
                  <c:v>10500</c:v>
                </c:pt>
              </c:numCache>
            </c:numRef>
          </c:val>
        </c:ser>
        <c:ser>
          <c:idx val="6"/>
          <c:order val="6"/>
          <c:tx>
            <c:strRef>
              <c:f>GRAFICA!$M$13</c:f>
              <c:strCache>
                <c:ptCount val="1"/>
                <c:pt idx="0">
                  <c:v>IVA A FAVOR</c:v>
                </c:pt>
              </c:strCache>
            </c:strRef>
          </c:tx>
          <c:spPr>
            <a:solidFill>
              <a:srgbClr val="FF0000"/>
            </a:solidFill>
          </c:spPr>
          <c:val>
            <c:numRef>
              <c:f>GRAFICA!$N$13</c:f>
              <c:numCache>
                <c:formatCode>"$"#,##0.00;[Red]\-"$"#,##0.00</c:formatCode>
                <c:ptCount val="1"/>
                <c:pt idx="0">
                  <c:v>704</c:v>
                </c:pt>
              </c:numCache>
            </c:numRef>
          </c:val>
        </c:ser>
        <c:ser>
          <c:idx val="7"/>
          <c:order val="7"/>
          <c:tx>
            <c:strRef>
              <c:f>GRAFICA!$M$14</c:f>
              <c:strCache>
                <c:ptCount val="1"/>
                <c:pt idx="0">
                  <c:v>DEUDORES DIVERSOS</c:v>
                </c:pt>
              </c:strCache>
            </c:strRef>
          </c:tx>
          <c:val>
            <c:numRef>
              <c:f>GRAFICA!$N$14</c:f>
              <c:numCache>
                <c:formatCode>"$"#,##0;[Red]\-"$"#,##0</c:formatCode>
                <c:ptCount val="1"/>
                <c:pt idx="0">
                  <c:v>3330</c:v>
                </c:pt>
              </c:numCache>
            </c:numRef>
          </c:val>
        </c:ser>
        <c:ser>
          <c:idx val="8"/>
          <c:order val="8"/>
          <c:tx>
            <c:strRef>
              <c:f>GRAFICA!$M$15</c:f>
              <c:strCache>
                <c:ptCount val="1"/>
                <c:pt idx="0">
                  <c:v>EQUIPO DE COMPUTO</c:v>
                </c:pt>
              </c:strCache>
            </c:strRef>
          </c:tx>
          <c:spPr>
            <a:solidFill>
              <a:srgbClr val="FFFF00"/>
            </a:solidFill>
          </c:spPr>
          <c:val>
            <c:numRef>
              <c:f>GRAFICA!$N$15</c:f>
              <c:numCache>
                <c:formatCode>"$"#,##0;[Red]\-"$"#,##0</c:formatCode>
                <c:ptCount val="1"/>
                <c:pt idx="0">
                  <c:v>14000</c:v>
                </c:pt>
              </c:numCache>
            </c:numRef>
          </c:val>
        </c:ser>
        <c:ser>
          <c:idx val="9"/>
          <c:order val="9"/>
          <c:tx>
            <c:strRef>
              <c:f>GRAFICA!$M$16</c:f>
              <c:strCache>
                <c:ptCount val="1"/>
                <c:pt idx="0">
                  <c:v>GASTOS DE INSTALACION</c:v>
                </c:pt>
              </c:strCache>
            </c:strRef>
          </c:tx>
          <c:spPr>
            <a:solidFill>
              <a:srgbClr val="FFC000"/>
            </a:solidFill>
          </c:spPr>
          <c:val>
            <c:numRef>
              <c:f>GRAFICA!$N$16</c:f>
              <c:numCache>
                <c:formatCode>"$"#,##0;[Red]\-"$"#,##0</c:formatCode>
                <c:ptCount val="1"/>
                <c:pt idx="0">
                  <c:v>4500</c:v>
                </c:pt>
              </c:numCache>
            </c:numRef>
          </c:val>
        </c:ser>
        <c:ser>
          <c:idx val="10"/>
          <c:order val="10"/>
          <c:tx>
            <c:strRef>
              <c:f>GRAFICA!$M$17</c:f>
              <c:strCache>
                <c:ptCount val="1"/>
                <c:pt idx="0">
                  <c:v>PAPELERIA Y UTILES</c:v>
                </c:pt>
              </c:strCache>
            </c:strRef>
          </c:tx>
          <c:spPr>
            <a:solidFill>
              <a:srgbClr val="00B0F0"/>
            </a:solidFill>
          </c:spPr>
          <c:val>
            <c:numRef>
              <c:f>GRAFICA!$N$17</c:f>
              <c:numCache>
                <c:formatCode>"$"#,##0;[Red]\-"$"#,##0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GRAFICA!$M$19</c:f>
              <c:strCache>
                <c:ptCount val="1"/>
                <c:pt idx="0">
                  <c:v>IVA PEND. TRANSLADAR</c:v>
                </c:pt>
              </c:strCache>
            </c:strRef>
          </c:tx>
          <c:spPr>
            <a:solidFill>
              <a:srgbClr val="604E20"/>
            </a:solidFill>
          </c:spPr>
          <c:val>
            <c:numRef>
              <c:f>GRAFICA!$N$19</c:f>
              <c:numCache>
                <c:formatCode>"$"#,##0.00;[Red]\-"$"#,##0.00</c:formatCode>
                <c:ptCount val="1"/>
                <c:pt idx="0">
                  <c:v>1939</c:v>
                </c:pt>
              </c:numCache>
            </c:numRef>
          </c:val>
        </c:ser>
        <c:ser>
          <c:idx val="12"/>
          <c:order val="12"/>
          <c:tx>
            <c:strRef>
              <c:f>GRAFICA!$M$18</c:f>
              <c:strCache>
                <c:ptCount val="1"/>
                <c:pt idx="0">
                  <c:v>PROVEEDORES</c:v>
                </c:pt>
              </c:strCache>
            </c:strRef>
          </c:tx>
          <c:val>
            <c:numRef>
              <c:f>GRAFICA!$N$18</c:f>
              <c:numCache>
                <c:formatCode>General</c:formatCode>
                <c:ptCount val="1"/>
                <c:pt idx="0">
                  <c:v>9923</c:v>
                </c:pt>
              </c:numCache>
            </c:numRef>
          </c:val>
        </c:ser>
        <c:ser>
          <c:idx val="13"/>
          <c:order val="13"/>
          <c:tx>
            <c:strRef>
              <c:f>GRAFICA!$M$20</c:f>
              <c:strCache>
                <c:ptCount val="1"/>
                <c:pt idx="0">
                  <c:v>ACREEDORES DIVERSOS</c:v>
                </c:pt>
              </c:strCache>
            </c:strRef>
          </c:tx>
          <c:spPr>
            <a:solidFill>
              <a:srgbClr val="DCC2D6"/>
            </a:solidFill>
          </c:spPr>
          <c:val>
            <c:numRef>
              <c:f>GRAFICA!$N$20</c:f>
              <c:numCache>
                <c:formatCode>"$"#,##0;[Red]\-"$"#,##0</c:formatCode>
                <c:ptCount val="1"/>
                <c:pt idx="0">
                  <c:v>5100</c:v>
                </c:pt>
              </c:numCache>
            </c:numRef>
          </c:val>
        </c:ser>
        <c:ser>
          <c:idx val="14"/>
          <c:order val="14"/>
          <c:tx>
            <c:strRef>
              <c:f>GRAFICA!$M$21</c:f>
              <c:strCache>
                <c:ptCount val="1"/>
                <c:pt idx="0">
                  <c:v>CAPITAL</c:v>
                </c:pt>
              </c:strCache>
            </c:strRef>
          </c:tx>
          <c:dPt>
            <c:idx val="0"/>
            <c:invertIfNegative val="1"/>
            <c:spPr>
              <a:solidFill>
                <a:srgbClr val="99FF66"/>
              </a:solidFill>
            </c:spPr>
          </c:dPt>
          <c:val>
            <c:numRef>
              <c:f>GRAFICA!$N$21</c:f>
              <c:numCache>
                <c:formatCode>"$"#,##0;[Red]\-"$"#,##0</c:formatCode>
                <c:ptCount val="1"/>
                <c:pt idx="0">
                  <c:v>127000</c:v>
                </c:pt>
              </c:numCache>
            </c:numRef>
          </c:val>
        </c:ser>
        <c:ser>
          <c:idx val="15"/>
          <c:order val="15"/>
          <c:tx>
            <c:strRef>
              <c:f>GRAFICA!$M$22</c:f>
              <c:strCache>
                <c:ptCount val="1"/>
                <c:pt idx="0">
                  <c:v>UTILIDAD DEL EJERCICIO</c:v>
                </c:pt>
              </c:strCache>
            </c:strRef>
          </c:tx>
          <c:spPr>
            <a:solidFill>
              <a:srgbClr val="FF66FF"/>
            </a:solidFill>
          </c:spPr>
          <c:val>
            <c:numRef>
              <c:f>GRAFICA!$N$22</c:f>
              <c:numCache>
                <c:formatCode>"$"#,##0.00;[Red]\-"$"#,##0.00</c:formatCode>
                <c:ptCount val="1"/>
                <c:pt idx="0">
                  <c:v>6056</c:v>
                </c:pt>
              </c:numCache>
            </c:numRef>
          </c:val>
        </c:ser>
        <c:dLbls/>
        <c:shape val="box"/>
        <c:axId val="113652864"/>
        <c:axId val="113654400"/>
        <c:axId val="0"/>
      </c:bar3DChart>
      <c:catAx>
        <c:axId val="113652864"/>
        <c:scaling>
          <c:orientation val="minMax"/>
        </c:scaling>
        <c:delete val="1"/>
        <c:axPos val="b"/>
        <c:tickLblPos val="none"/>
        <c:crossAx val="113654400"/>
        <c:crosses val="autoZero"/>
        <c:auto val="1"/>
        <c:lblAlgn val="ctr"/>
        <c:lblOffset val="100"/>
      </c:catAx>
      <c:valAx>
        <c:axId val="113654400"/>
        <c:scaling>
          <c:orientation val="minMax"/>
        </c:scaling>
        <c:axPos val="l"/>
        <c:majorGridlines/>
        <c:numFmt formatCode="&quot;$&quot;#,##0;[Red]\-&quot;$&quot;#,##0" sourceLinked="1"/>
        <c:tickLblPos val="nextTo"/>
        <c:crossAx val="11365286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42"/>
  <c:chart>
    <c:title>
      <c:layout>
        <c:manualLayout>
          <c:xMode val="edge"/>
          <c:yMode val="edge"/>
          <c:x val="0.20764388744600645"/>
          <c:y val="2.5789807786734949E-2"/>
        </c:manualLayout>
      </c:layout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GRAFICA!$M$22</c:f>
              <c:strCache>
                <c:ptCount val="1"/>
                <c:pt idx="0">
                  <c:v>UTILIDAD DEL EJERCICIO</c:v>
                </c:pt>
              </c:strCache>
            </c:strRef>
          </c:tx>
          <c:val>
            <c:numRef>
              <c:f>GRAFICA!$N$22</c:f>
              <c:numCache>
                <c:formatCode>"$"#,##0.00;[Red]\-"$"#,##0.00</c:formatCode>
                <c:ptCount val="1"/>
                <c:pt idx="0">
                  <c:v>6056</c:v>
                </c:pt>
              </c:numCache>
            </c:numRef>
          </c:val>
        </c:ser>
        <c:dLbls/>
        <c:shape val="box"/>
        <c:axId val="113699456"/>
        <c:axId val="113701248"/>
        <c:axId val="0"/>
      </c:bar3DChart>
      <c:catAx>
        <c:axId val="113699456"/>
        <c:scaling>
          <c:orientation val="minMax"/>
        </c:scaling>
        <c:axPos val="b"/>
        <c:tickLblPos val="nextTo"/>
        <c:crossAx val="113701248"/>
        <c:crosses val="autoZero"/>
        <c:auto val="1"/>
        <c:lblAlgn val="ctr"/>
        <c:lblOffset val="100"/>
      </c:catAx>
      <c:valAx>
        <c:axId val="11370124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1369945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3</xdr:row>
      <xdr:rowOff>161925</xdr:rowOff>
    </xdr:from>
    <xdr:to>
      <xdr:col>11</xdr:col>
      <xdr:colOff>76200</xdr:colOff>
      <xdr:row>25</xdr:row>
      <xdr:rowOff>66675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257174</xdr:colOff>
      <xdr:row>27</xdr:row>
      <xdr:rowOff>119062</xdr:rowOff>
    </xdr:from>
    <xdr:to>
      <xdr:col>9</xdr:col>
      <xdr:colOff>685799</xdr:colOff>
      <xdr:row>39</xdr:row>
      <xdr:rowOff>66675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lemental">
  <a:themeElements>
    <a:clrScheme name="Elemental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Elemental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Elemental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74"/>
  <sheetViews>
    <sheetView topLeftCell="A25" workbookViewId="0">
      <selection activeCell="A75" sqref="A75"/>
    </sheetView>
  </sheetViews>
  <sheetFormatPr baseColWidth="10" defaultRowHeight="16.5"/>
  <cols>
    <col min="2" max="2" width="13.625" customWidth="1"/>
    <col min="3" max="3" width="14.25" customWidth="1"/>
    <col min="4" max="4" width="18.125" customWidth="1"/>
    <col min="6" max="6" width="13.25" customWidth="1"/>
    <col min="8" max="8" width="8.25" customWidth="1"/>
  </cols>
  <sheetData>
    <row r="2" spans="1:13" ht="17.25">
      <c r="D2" s="52"/>
      <c r="E2" s="53" t="s">
        <v>0</v>
      </c>
      <c r="F2" s="53"/>
      <c r="G2" s="53"/>
      <c r="H2" s="53"/>
      <c r="I2" s="53"/>
    </row>
    <row r="4" spans="1:13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3" ht="17.25">
      <c r="A5" s="55" t="s">
        <v>1</v>
      </c>
      <c r="B5" s="64" t="s">
        <v>2</v>
      </c>
      <c r="C5" s="64"/>
      <c r="D5" s="64"/>
      <c r="E5" s="64"/>
      <c r="F5" s="63"/>
      <c r="G5" s="63"/>
      <c r="H5" s="63"/>
      <c r="I5" s="63"/>
      <c r="J5" s="63"/>
      <c r="K5" s="63"/>
      <c r="L5" s="63"/>
      <c r="M5" s="63"/>
    </row>
    <row r="6" spans="1:13">
      <c r="B6" s="65" t="s">
        <v>3</v>
      </c>
      <c r="C6" s="66">
        <v>5000</v>
      </c>
      <c r="D6" s="60"/>
      <c r="E6" s="65"/>
      <c r="F6" s="65"/>
      <c r="G6" s="65"/>
      <c r="H6" s="65"/>
      <c r="I6" s="65"/>
      <c r="J6" s="65"/>
      <c r="K6" s="65"/>
      <c r="L6" s="63"/>
      <c r="M6" s="63"/>
    </row>
    <row r="7" spans="1:13">
      <c r="B7" s="65" t="s">
        <v>4</v>
      </c>
      <c r="C7" s="66">
        <v>100000</v>
      </c>
      <c r="D7" s="65"/>
      <c r="E7" s="65"/>
      <c r="F7" s="65"/>
      <c r="G7" s="65"/>
      <c r="H7" s="65"/>
      <c r="I7" s="65"/>
      <c r="J7" s="65"/>
      <c r="K7" s="65"/>
      <c r="L7" s="63"/>
      <c r="M7" s="63"/>
    </row>
    <row r="8" spans="1:13">
      <c r="B8" s="65" t="s">
        <v>5</v>
      </c>
      <c r="C8" s="65">
        <v>10</v>
      </c>
      <c r="D8" s="65" t="s">
        <v>6</v>
      </c>
      <c r="E8" s="65" t="s">
        <v>7</v>
      </c>
      <c r="F8" s="66">
        <v>200</v>
      </c>
      <c r="G8" s="65" t="s">
        <v>8</v>
      </c>
      <c r="H8" s="65"/>
      <c r="I8" s="65"/>
      <c r="J8" s="65"/>
      <c r="K8" s="65"/>
      <c r="L8" s="63"/>
      <c r="M8" s="63"/>
    </row>
    <row r="9" spans="1:13">
      <c r="B9" s="65" t="s">
        <v>9</v>
      </c>
      <c r="C9" s="65"/>
      <c r="D9" s="66">
        <v>20000</v>
      </c>
      <c r="E9" s="65"/>
      <c r="F9" s="65"/>
      <c r="G9" s="65"/>
      <c r="H9" s="65"/>
      <c r="I9" s="65"/>
      <c r="J9" s="65"/>
      <c r="K9" s="65"/>
      <c r="L9" s="63"/>
      <c r="M9" s="63"/>
    </row>
    <row r="10" spans="1:13">
      <c r="B10" s="65" t="s">
        <v>122</v>
      </c>
      <c r="C10" s="65"/>
      <c r="D10" s="66">
        <v>127000</v>
      </c>
      <c r="E10" s="76"/>
      <c r="F10" s="65"/>
      <c r="G10" s="65"/>
      <c r="H10" s="65"/>
      <c r="I10" s="65"/>
      <c r="J10" s="65"/>
      <c r="K10" s="65"/>
      <c r="L10" s="63"/>
      <c r="M10" s="63"/>
    </row>
    <row r="11" spans="1:13" ht="18">
      <c r="A11" s="75" t="s">
        <v>10</v>
      </c>
      <c r="B11" s="79" t="s">
        <v>11</v>
      </c>
      <c r="C11" s="75">
        <v>20</v>
      </c>
      <c r="D11" s="75" t="s">
        <v>12</v>
      </c>
      <c r="E11" s="74">
        <v>250</v>
      </c>
      <c r="F11" s="65" t="s">
        <v>13</v>
      </c>
      <c r="G11" s="65" t="s">
        <v>14</v>
      </c>
      <c r="H11" s="67">
        <v>0.11</v>
      </c>
      <c r="I11" s="65" t="s">
        <v>15</v>
      </c>
      <c r="J11" s="65"/>
      <c r="K11" s="65"/>
      <c r="L11" s="63"/>
      <c r="M11" s="63"/>
    </row>
    <row r="12" spans="1:13">
      <c r="A12" s="18"/>
      <c r="B12" s="68">
        <v>0.03</v>
      </c>
      <c r="C12" s="65" t="s">
        <v>16</v>
      </c>
      <c r="D12" s="68">
        <v>0.6</v>
      </c>
      <c r="E12" s="69" t="s">
        <v>174</v>
      </c>
      <c r="F12" s="69"/>
      <c r="G12" s="70">
        <v>0.4</v>
      </c>
      <c r="H12" s="65" t="s">
        <v>175</v>
      </c>
      <c r="I12" s="65"/>
      <c r="J12" s="65"/>
      <c r="K12" s="65"/>
      <c r="L12" s="63"/>
      <c r="M12" s="63"/>
    </row>
    <row r="13" spans="1:13"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13"/>
      <c r="M13" s="63"/>
    </row>
    <row r="14" spans="1:13">
      <c r="A14" s="54" t="s">
        <v>17</v>
      </c>
      <c r="B14" s="62" t="s">
        <v>18</v>
      </c>
      <c r="C14" s="62"/>
      <c r="D14" s="62"/>
      <c r="E14" s="59">
        <v>200</v>
      </c>
      <c r="F14" s="60" t="s">
        <v>19</v>
      </c>
      <c r="G14" s="61">
        <v>0.11</v>
      </c>
      <c r="H14" s="60" t="s">
        <v>20</v>
      </c>
      <c r="I14" s="60"/>
      <c r="J14" s="60"/>
      <c r="K14" s="60"/>
      <c r="L14" s="62"/>
      <c r="M14" s="62"/>
    </row>
    <row r="15" spans="1:13">
      <c r="A15" s="54"/>
      <c r="B15" s="62"/>
      <c r="C15" s="62"/>
      <c r="D15" s="62"/>
      <c r="E15" s="60"/>
      <c r="F15" s="60"/>
      <c r="G15" s="60"/>
      <c r="H15" s="60"/>
      <c r="I15" s="60"/>
      <c r="J15" s="60"/>
      <c r="K15" s="60"/>
      <c r="L15" s="62"/>
      <c r="M15" s="62"/>
    </row>
    <row r="16" spans="1:13">
      <c r="A16" s="54" t="s">
        <v>21</v>
      </c>
      <c r="B16" s="77" t="s">
        <v>22</v>
      </c>
      <c r="C16" s="77">
        <v>15</v>
      </c>
      <c r="D16" s="77" t="s">
        <v>23</v>
      </c>
      <c r="E16" s="85">
        <v>800</v>
      </c>
      <c r="F16" s="83" t="s">
        <v>13</v>
      </c>
      <c r="G16" s="83" t="s">
        <v>14</v>
      </c>
      <c r="H16" s="82">
        <v>0.11</v>
      </c>
      <c r="I16" s="83" t="s">
        <v>24</v>
      </c>
      <c r="J16" s="83"/>
      <c r="K16" s="83"/>
      <c r="L16" s="62"/>
      <c r="M16" s="62"/>
    </row>
    <row r="17" spans="1:13">
      <c r="A17" s="75"/>
      <c r="B17" s="71">
        <v>0.03</v>
      </c>
      <c r="C17" s="62" t="s">
        <v>25</v>
      </c>
      <c r="D17" s="62"/>
      <c r="E17" s="61">
        <v>0.4</v>
      </c>
      <c r="F17" s="60" t="s">
        <v>184</v>
      </c>
      <c r="G17" s="61">
        <v>0.6</v>
      </c>
      <c r="H17" s="60" t="s">
        <v>175</v>
      </c>
      <c r="I17" s="60"/>
      <c r="J17" s="60"/>
      <c r="K17" s="60"/>
      <c r="L17" s="62"/>
      <c r="M17" s="62"/>
    </row>
    <row r="18" spans="1:13">
      <c r="A18" s="54"/>
      <c r="B18" s="75"/>
      <c r="C18" s="75"/>
      <c r="D18" s="75"/>
      <c r="E18" s="84"/>
      <c r="F18" s="84"/>
      <c r="G18" s="84"/>
      <c r="H18" s="84"/>
      <c r="I18" s="84"/>
      <c r="J18" s="84"/>
      <c r="K18" s="84"/>
      <c r="L18" s="81"/>
      <c r="M18" s="62"/>
    </row>
    <row r="19" spans="1:13">
      <c r="A19" s="54" t="s">
        <v>26</v>
      </c>
      <c r="B19" s="62" t="s">
        <v>27</v>
      </c>
      <c r="C19" s="62"/>
      <c r="D19" s="62">
        <v>6</v>
      </c>
      <c r="E19" s="62" t="s">
        <v>28</v>
      </c>
      <c r="F19" s="62"/>
      <c r="G19" s="62"/>
      <c r="H19" s="72">
        <v>2000</v>
      </c>
      <c r="I19" s="62" t="s">
        <v>29</v>
      </c>
      <c r="J19" s="62"/>
      <c r="K19" s="71">
        <v>0.11</v>
      </c>
      <c r="L19" s="62"/>
      <c r="M19" s="62"/>
    </row>
    <row r="20" spans="1:13">
      <c r="A20" s="54"/>
      <c r="B20" s="62" t="s">
        <v>30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3">
      <c r="A21" s="54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>
      <c r="A22" s="54" t="s">
        <v>31</v>
      </c>
      <c r="B22" s="62" t="s">
        <v>11</v>
      </c>
      <c r="C22" s="62">
        <v>20</v>
      </c>
      <c r="D22" s="62" t="s">
        <v>32</v>
      </c>
      <c r="E22" s="72">
        <v>350</v>
      </c>
      <c r="F22" s="62" t="s">
        <v>33</v>
      </c>
      <c r="G22" s="62"/>
      <c r="H22" s="71">
        <v>0.11</v>
      </c>
      <c r="I22" s="62" t="s">
        <v>34</v>
      </c>
      <c r="J22" s="62"/>
      <c r="K22" s="62"/>
      <c r="L22" s="62"/>
      <c r="M22" s="62"/>
    </row>
    <row r="23" spans="1:13">
      <c r="A23" s="54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</row>
    <row r="24" spans="1:13">
      <c r="A24" s="54" t="s">
        <v>35</v>
      </c>
      <c r="B24" s="62" t="s">
        <v>36</v>
      </c>
      <c r="C24" s="62"/>
      <c r="D24" s="62"/>
      <c r="E24" s="62"/>
      <c r="F24" s="62"/>
      <c r="G24" s="62"/>
      <c r="H24" s="72">
        <v>5000</v>
      </c>
      <c r="I24" s="62" t="s">
        <v>37</v>
      </c>
      <c r="J24" s="62"/>
      <c r="K24" s="71">
        <v>0.11</v>
      </c>
      <c r="L24" s="62"/>
      <c r="M24" s="62"/>
    </row>
    <row r="25" spans="1:13">
      <c r="A25" s="54"/>
      <c r="B25" s="62" t="s">
        <v>41</v>
      </c>
      <c r="C25" s="62"/>
      <c r="D25" s="62"/>
      <c r="E25" s="72">
        <v>550</v>
      </c>
      <c r="F25" s="72" t="s">
        <v>38</v>
      </c>
      <c r="G25" s="62"/>
      <c r="H25" s="62"/>
      <c r="I25" s="62"/>
      <c r="J25" s="62"/>
      <c r="K25" s="62"/>
      <c r="L25" s="62"/>
      <c r="M25" s="62"/>
    </row>
    <row r="26" spans="1:13">
      <c r="A26" s="54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</row>
    <row r="27" spans="1:13">
      <c r="A27" s="54" t="s">
        <v>39</v>
      </c>
      <c r="B27" s="62" t="s">
        <v>40</v>
      </c>
      <c r="C27" s="62"/>
      <c r="D27" s="62"/>
      <c r="E27" s="72">
        <v>2000</v>
      </c>
      <c r="F27" s="62" t="s">
        <v>19</v>
      </c>
      <c r="G27" s="71">
        <v>0.11</v>
      </c>
      <c r="H27" s="62" t="s">
        <v>42</v>
      </c>
      <c r="I27" s="62"/>
      <c r="J27" s="62"/>
      <c r="K27" s="62"/>
      <c r="L27" s="62"/>
      <c r="M27" s="62"/>
    </row>
    <row r="28" spans="1:13">
      <c r="A28" s="54"/>
      <c r="B28" s="62" t="s">
        <v>43</v>
      </c>
      <c r="C28" s="71">
        <v>0.5</v>
      </c>
      <c r="D28" s="62" t="s">
        <v>191</v>
      </c>
      <c r="E28" s="62"/>
      <c r="F28" s="62"/>
      <c r="G28" s="71">
        <v>0.5</v>
      </c>
      <c r="H28" s="62" t="s">
        <v>192</v>
      </c>
      <c r="I28" s="62"/>
      <c r="J28" s="62"/>
      <c r="K28" s="62"/>
      <c r="L28" s="62"/>
      <c r="M28" s="62"/>
    </row>
    <row r="29" spans="1:13">
      <c r="A29" s="54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</row>
    <row r="30" spans="1:13">
      <c r="A30" s="54" t="s">
        <v>44</v>
      </c>
      <c r="B30" s="62" t="s">
        <v>22</v>
      </c>
      <c r="C30" s="62">
        <v>20</v>
      </c>
      <c r="D30" s="62" t="s">
        <v>45</v>
      </c>
      <c r="E30" s="72">
        <v>850</v>
      </c>
      <c r="F30" s="62" t="s">
        <v>46</v>
      </c>
      <c r="G30" s="62"/>
      <c r="H30" s="71">
        <v>0.11</v>
      </c>
      <c r="I30" s="62" t="s">
        <v>47</v>
      </c>
      <c r="J30" s="62"/>
      <c r="K30" s="71">
        <v>0.5</v>
      </c>
      <c r="L30" s="62" t="s">
        <v>48</v>
      </c>
      <c r="M30" s="62"/>
    </row>
    <row r="31" spans="1:13" ht="45" customHeight="1">
      <c r="A31" s="63">
        <v>10</v>
      </c>
      <c r="B31" s="62" t="s">
        <v>196</v>
      </c>
      <c r="C31" s="71">
        <v>0.5</v>
      </c>
      <c r="D31" s="62" t="s">
        <v>175</v>
      </c>
      <c r="E31" s="62"/>
      <c r="F31" s="62"/>
      <c r="G31" s="62"/>
      <c r="H31" s="62"/>
      <c r="I31" s="62"/>
      <c r="J31" s="62"/>
      <c r="K31" s="62"/>
      <c r="L31" s="62"/>
      <c r="M31" s="62"/>
    </row>
    <row r="32" spans="1:13" s="63" customFormat="1" ht="41.25" customHeight="1">
      <c r="B32" s="62" t="s">
        <v>50</v>
      </c>
      <c r="C32" s="62"/>
      <c r="D32" s="62"/>
      <c r="E32" s="72">
        <v>3000</v>
      </c>
      <c r="F32" s="62" t="s">
        <v>51</v>
      </c>
      <c r="G32" s="62"/>
      <c r="H32" s="62"/>
      <c r="I32" s="62"/>
      <c r="J32" s="71">
        <v>0.5</v>
      </c>
      <c r="K32" s="62" t="s">
        <v>52</v>
      </c>
      <c r="L32" s="62"/>
      <c r="M32" s="71">
        <v>0.5</v>
      </c>
    </row>
    <row r="33" spans="1:13" s="63" customFormat="1" ht="33" customHeight="1">
      <c r="A33" s="62" t="s">
        <v>49</v>
      </c>
      <c r="B33" s="62" t="s">
        <v>53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</row>
    <row r="35" spans="1:13">
      <c r="A35" s="54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</row>
    <row r="36" spans="1:13" ht="0.75" customHeight="1">
      <c r="A36" s="54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</row>
    <row r="37" spans="1:13" ht="21" hidden="1">
      <c r="A37" s="54"/>
      <c r="B37" s="62"/>
      <c r="C37" s="62"/>
      <c r="D37" s="62"/>
      <c r="E37" s="73"/>
      <c r="F37" s="73"/>
      <c r="G37" s="73"/>
      <c r="H37" s="62"/>
      <c r="I37" s="62"/>
      <c r="J37" s="62"/>
      <c r="K37" s="62"/>
      <c r="L37" s="62"/>
      <c r="M37" s="62"/>
    </row>
    <row r="38" spans="1:13" hidden="1">
      <c r="A38" s="54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</row>
    <row r="39" spans="1:13" hidden="1">
      <c r="A39" s="54"/>
      <c r="B39" s="62"/>
      <c r="C39" s="62"/>
      <c r="D39" s="62"/>
      <c r="E39" s="62"/>
      <c r="F39" s="72"/>
      <c r="G39" s="62"/>
      <c r="H39" s="62"/>
      <c r="I39" s="62"/>
      <c r="J39" s="62"/>
      <c r="K39" s="62"/>
      <c r="L39" s="62"/>
      <c r="M39" s="62"/>
    </row>
    <row r="40" spans="1:13" hidden="1">
      <c r="A40" s="54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</row>
    <row r="41" spans="1:13" hidden="1">
      <c r="A41" s="54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</row>
    <row r="42" spans="1:13" hidden="1">
      <c r="A42" s="54"/>
      <c r="B42" s="62"/>
      <c r="C42" s="62"/>
      <c r="D42" s="62"/>
      <c r="E42" s="62"/>
      <c r="F42" s="62"/>
      <c r="G42" s="72"/>
      <c r="H42" s="62"/>
      <c r="I42" s="62"/>
      <c r="J42" s="62"/>
      <c r="K42" s="62"/>
      <c r="L42" s="62"/>
      <c r="M42" s="62"/>
    </row>
    <row r="43" spans="1:13" hidden="1">
      <c r="A43" s="54"/>
      <c r="B43" s="62"/>
      <c r="C43" s="62"/>
      <c r="D43" s="62"/>
      <c r="E43" s="62"/>
      <c r="F43" s="62"/>
      <c r="G43" s="71"/>
      <c r="H43" s="62"/>
      <c r="I43" s="62"/>
      <c r="J43" s="62"/>
      <c r="K43" s="62"/>
      <c r="L43" s="62"/>
      <c r="M43" s="62"/>
    </row>
    <row r="44" spans="1:13" hidden="1">
      <c r="A44" s="54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</row>
    <row r="45" spans="1:13" hidden="1">
      <c r="A45" s="54"/>
      <c r="B45" s="62"/>
      <c r="C45" s="62"/>
      <c r="D45" s="62"/>
      <c r="E45" s="72"/>
      <c r="F45" s="62"/>
      <c r="G45" s="62"/>
      <c r="H45" s="62"/>
      <c r="I45" s="62"/>
      <c r="J45" s="62"/>
      <c r="K45" s="62"/>
      <c r="L45" s="62"/>
      <c r="M45" s="62"/>
    </row>
    <row r="46" spans="1:13" hidden="1">
      <c r="A46" s="54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</row>
    <row r="47" spans="1:13" hidden="1">
      <c r="A47" s="54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3" hidden="1">
      <c r="A48" s="54"/>
      <c r="B48" s="62"/>
      <c r="C48" s="62"/>
      <c r="D48" s="62"/>
      <c r="E48" s="71"/>
      <c r="F48" s="62"/>
      <c r="G48" s="62"/>
      <c r="H48" s="62"/>
      <c r="I48" s="62"/>
      <c r="J48" s="62"/>
      <c r="K48" s="62"/>
      <c r="L48" s="62"/>
      <c r="M48" s="62"/>
    </row>
    <row r="49" spans="1:13" ht="12" hidden="1" customHeight="1">
      <c r="A49" s="54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</row>
    <row r="50" spans="1:13" hidden="1">
      <c r="A50" s="54"/>
      <c r="B50" s="62"/>
      <c r="C50" s="71"/>
      <c r="D50" s="62"/>
      <c r="E50" s="62"/>
      <c r="F50" s="62"/>
      <c r="G50" s="62"/>
      <c r="H50" s="62"/>
      <c r="I50" s="62"/>
      <c r="J50" s="62"/>
      <c r="K50" s="62"/>
      <c r="L50" s="62"/>
      <c r="M50" s="62"/>
    </row>
    <row r="51" spans="1:13" hidden="1">
      <c r="A51" s="54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</row>
    <row r="52" spans="1:13" hidden="1">
      <c r="A52" s="54"/>
      <c r="B52" s="62"/>
      <c r="C52" s="71"/>
      <c r="D52" s="62"/>
      <c r="E52" s="62"/>
      <c r="F52" s="62"/>
      <c r="G52" s="62"/>
      <c r="H52" s="62"/>
      <c r="I52" s="71"/>
      <c r="J52" s="62"/>
      <c r="K52" s="62"/>
      <c r="L52" s="62"/>
      <c r="M52" s="62"/>
    </row>
    <row r="53" spans="1:13" hidden="1">
      <c r="A53" s="54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</row>
    <row r="54" spans="1:13" hidden="1">
      <c r="A54" s="54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</row>
    <row r="55" spans="1:13" hidden="1">
      <c r="A55" s="57"/>
      <c r="B55" s="62"/>
      <c r="C55" s="71"/>
      <c r="D55" s="62"/>
      <c r="E55" s="62"/>
      <c r="F55" s="62"/>
      <c r="G55" s="62"/>
      <c r="H55" s="62"/>
      <c r="I55" s="71"/>
      <c r="J55" s="62"/>
      <c r="K55" s="62"/>
      <c r="L55" s="62"/>
      <c r="M55" s="62"/>
    </row>
    <row r="56" spans="1:13" hidden="1">
      <c r="A56" s="54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</row>
    <row r="57" spans="1:13" ht="9.75" hidden="1" customHeight="1">
      <c r="A57" s="54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</row>
    <row r="58" spans="1:13" hidden="1">
      <c r="A58" s="54"/>
      <c r="B58" s="62"/>
      <c r="C58" s="62"/>
      <c r="D58" s="62"/>
      <c r="E58" s="62"/>
      <c r="F58" s="72"/>
      <c r="G58" s="62"/>
      <c r="H58" s="62"/>
      <c r="I58" s="62"/>
      <c r="J58" s="62"/>
      <c r="K58" s="62"/>
      <c r="L58" s="62"/>
      <c r="M58" s="62"/>
    </row>
    <row r="59" spans="1:13" hidden="1">
      <c r="A59" s="54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</row>
    <row r="60" spans="1:13" hidden="1">
      <c r="A60" s="54"/>
      <c r="B60" s="62"/>
      <c r="C60" s="62"/>
      <c r="D60" s="62"/>
      <c r="E60" s="62"/>
      <c r="F60" s="72"/>
      <c r="G60" s="62"/>
      <c r="H60" s="62"/>
      <c r="I60" s="71"/>
      <c r="J60" s="62"/>
      <c r="K60" s="62"/>
      <c r="L60" s="62"/>
      <c r="M60" s="62"/>
    </row>
    <row r="61" spans="1:13" hidden="1">
      <c r="A61" s="54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</row>
    <row r="62" spans="1:13" hidden="1">
      <c r="A62" s="54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</row>
    <row r="63" spans="1:13" hidden="1">
      <c r="A63" s="54"/>
      <c r="B63" s="62"/>
      <c r="C63" s="62"/>
      <c r="D63" s="62"/>
      <c r="E63" s="72"/>
      <c r="F63" s="62"/>
      <c r="G63" s="71"/>
      <c r="H63" s="62"/>
      <c r="I63" s="62"/>
      <c r="J63" s="62"/>
      <c r="K63" s="62"/>
      <c r="L63" s="62"/>
      <c r="M63" s="62"/>
    </row>
    <row r="64" spans="1:13">
      <c r="A64" s="54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</row>
    <row r="65" spans="1:13"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</row>
    <row r="66" spans="1:13"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</row>
    <row r="68" spans="1:13" ht="17.25" thickBot="1"/>
    <row r="69" spans="1:13" ht="17.25" thickBot="1">
      <c r="E69" s="43" t="s">
        <v>83</v>
      </c>
      <c r="F69" s="44"/>
      <c r="G69" s="45"/>
    </row>
    <row r="71" spans="1:13">
      <c r="A71" s="87" t="s">
        <v>84</v>
      </c>
      <c r="B71" s="88" t="s">
        <v>85</v>
      </c>
      <c r="C71" s="88"/>
      <c r="D71" s="88"/>
      <c r="E71" s="88"/>
      <c r="F71" s="88"/>
      <c r="G71" s="88"/>
      <c r="H71" s="88"/>
      <c r="I71" s="89"/>
    </row>
    <row r="72" spans="1:13">
      <c r="A72" s="90" t="s">
        <v>10</v>
      </c>
      <c r="B72" s="91" t="s">
        <v>86</v>
      </c>
      <c r="C72" s="91"/>
      <c r="D72" s="91"/>
      <c r="E72" s="91"/>
      <c r="F72" s="91"/>
      <c r="G72" s="91"/>
      <c r="H72" s="91"/>
      <c r="I72" s="92"/>
    </row>
    <row r="73" spans="1:13">
      <c r="A73" s="90" t="s">
        <v>17</v>
      </c>
      <c r="B73" s="91" t="s">
        <v>87</v>
      </c>
      <c r="C73" s="91"/>
      <c r="D73" s="91"/>
      <c r="E73" s="91"/>
      <c r="F73" s="91"/>
      <c r="G73" s="91"/>
      <c r="H73" s="91"/>
      <c r="I73" s="92"/>
    </row>
    <row r="74" spans="1:13">
      <c r="A74" s="93" t="s">
        <v>88</v>
      </c>
      <c r="B74" s="94" t="s">
        <v>89</v>
      </c>
      <c r="C74" s="94"/>
      <c r="D74" s="94"/>
      <c r="E74" s="94"/>
      <c r="F74" s="94"/>
      <c r="G74" s="94"/>
      <c r="H74" s="94"/>
      <c r="I74" s="95"/>
    </row>
  </sheetData>
  <mergeCells count="2">
    <mergeCell ref="E2:I2"/>
    <mergeCell ref="E69:G6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72"/>
  <sheetViews>
    <sheetView workbookViewId="0">
      <selection activeCell="F27" sqref="F27"/>
    </sheetView>
  </sheetViews>
  <sheetFormatPr baseColWidth="10" defaultRowHeight="16.5"/>
  <cols>
    <col min="1" max="1" width="11" style="9"/>
    <col min="4" max="4" width="11" style="11"/>
    <col min="5" max="5" width="11" style="9"/>
    <col min="9" max="9" width="11" style="9"/>
    <col min="10" max="10" width="14.5" customWidth="1"/>
    <col min="13" max="13" width="11" style="9"/>
    <col min="15" max="15" width="14.875" customWidth="1"/>
  </cols>
  <sheetData>
    <row r="1" spans="1:15" ht="18">
      <c r="F1" s="245"/>
      <c r="G1" s="272" t="s">
        <v>99</v>
      </c>
      <c r="H1" s="272"/>
      <c r="I1" s="272"/>
      <c r="J1" s="272"/>
      <c r="K1" s="272"/>
      <c r="L1" s="23"/>
    </row>
    <row r="3" spans="1:15">
      <c r="B3" s="273" t="s">
        <v>159</v>
      </c>
      <c r="C3" s="273"/>
      <c r="D3" s="12"/>
      <c r="F3" s="273" t="s">
        <v>4</v>
      </c>
      <c r="G3" s="273"/>
      <c r="H3" s="16"/>
      <c r="J3" s="273" t="s">
        <v>5</v>
      </c>
      <c r="K3" s="273"/>
      <c r="L3" s="16"/>
      <c r="N3" s="274" t="s">
        <v>160</v>
      </c>
      <c r="O3" s="274"/>
    </row>
    <row r="4" spans="1:15" ht="17.25">
      <c r="A4" s="122" t="s">
        <v>177</v>
      </c>
      <c r="B4" s="297">
        <f>PROBLEMAS!C6</f>
        <v>5000</v>
      </c>
      <c r="C4" s="276">
        <f>J6+J15</f>
        <v>222</v>
      </c>
      <c r="D4" s="121" t="s">
        <v>181</v>
      </c>
      <c r="E4" s="9" t="s">
        <v>177</v>
      </c>
      <c r="F4" s="297">
        <f>PROBLEMAS!C7</f>
        <v>100000</v>
      </c>
      <c r="G4" s="293">
        <f>(J5-K4)*PROBLEMAS!D12+'ESQUEMA DE MAYOR'!J13</f>
        <v>3230.1</v>
      </c>
      <c r="H4" s="123" t="s">
        <v>179</v>
      </c>
      <c r="I4" s="122" t="s">
        <v>177</v>
      </c>
      <c r="J4" s="297">
        <f>PROBLEMAS!C8*PROBLEMAS!F8</f>
        <v>2000</v>
      </c>
      <c r="K4" s="276">
        <f>J5*PROBLEMAS!B12</f>
        <v>150</v>
      </c>
      <c r="L4" s="56" t="s">
        <v>179</v>
      </c>
      <c r="M4" s="122" t="s">
        <v>177</v>
      </c>
      <c r="N4" s="297">
        <f>PROBLEMAS!D9</f>
        <v>20000</v>
      </c>
      <c r="O4" s="15"/>
    </row>
    <row r="5" spans="1:15" ht="17.25">
      <c r="B5" s="295"/>
      <c r="C5" s="283">
        <f>PROBLEMAS!E25</f>
        <v>550</v>
      </c>
      <c r="D5" s="121" t="s">
        <v>189</v>
      </c>
      <c r="E5" s="9" t="s">
        <v>183</v>
      </c>
      <c r="F5" s="287">
        <f>(C25-B25)*PROBLEMAS!E17+'ESQUEMA DE MAYOR'!G23</f>
        <v>5168.16</v>
      </c>
      <c r="G5" s="299">
        <f>B34+J16</f>
        <v>13320</v>
      </c>
      <c r="H5" s="54" t="s">
        <v>186</v>
      </c>
      <c r="I5" s="122" t="s">
        <v>178</v>
      </c>
      <c r="J5" s="287">
        <f>PROBLEMAS!C11*PROBLEMAS!E11</f>
        <v>5000</v>
      </c>
      <c r="K5" s="276">
        <f>'TARGETA DE ALMACEN'!J13</f>
        <v>3525</v>
      </c>
      <c r="L5" s="54" t="s">
        <v>182</v>
      </c>
      <c r="N5" s="6"/>
    </row>
    <row r="6" spans="1:15" ht="17.25">
      <c r="B6" s="279">
        <f>SUM(B4)</f>
        <v>5000</v>
      </c>
      <c r="C6" s="280">
        <f>SUM(C4:C5)</f>
        <v>772</v>
      </c>
      <c r="D6" s="121"/>
      <c r="E6" s="9" t="s">
        <v>197</v>
      </c>
      <c r="F6" s="281">
        <f>(C26*PROBLEMAS!K30)+'ESQUEMA DE MAYOR'!G24</f>
        <v>9435</v>
      </c>
      <c r="G6" s="299">
        <f>J18+B44+N34</f>
        <v>2220</v>
      </c>
      <c r="H6" s="54" t="s">
        <v>194</v>
      </c>
      <c r="I6" s="122" t="s">
        <v>180</v>
      </c>
      <c r="J6" s="287">
        <f>PROBLEMAS!E14</f>
        <v>200</v>
      </c>
      <c r="K6" s="293">
        <f>'TARGETA DE ALMACEN'!J15</f>
        <v>6020</v>
      </c>
      <c r="L6" s="54" t="s">
        <v>195</v>
      </c>
      <c r="N6" s="3"/>
    </row>
    <row r="7" spans="1:15" ht="17.25">
      <c r="B7" s="279">
        <f>B6-C6</f>
        <v>4228</v>
      </c>
      <c r="C7" s="280">
        <f>'HOJA DE TRABAJO'!N9</f>
        <v>98</v>
      </c>
      <c r="D7" s="121" t="s">
        <v>242</v>
      </c>
      <c r="F7" s="282"/>
      <c r="G7" s="283">
        <f>PROBLEMAS!E32</f>
        <v>3000</v>
      </c>
      <c r="H7" s="54" t="s">
        <v>199</v>
      </c>
      <c r="I7" s="122" t="s">
        <v>187</v>
      </c>
      <c r="J7" s="295">
        <f>PROBLEMAS!C22*PROBLEMAS!E22</f>
        <v>7000</v>
      </c>
      <c r="K7" s="302"/>
      <c r="L7" s="54"/>
      <c r="N7" s="3"/>
    </row>
    <row r="8" spans="1:15" ht="17.25">
      <c r="B8" s="312">
        <f>'HOJA DE TRABAJO'!P9</f>
        <v>4130</v>
      </c>
      <c r="C8" s="299"/>
      <c r="F8" s="279">
        <f>SUM(F4:F6)</f>
        <v>114603.16</v>
      </c>
      <c r="G8" s="292">
        <f>ROUND((SUM(G4:G7)),0)</f>
        <v>21770</v>
      </c>
      <c r="H8" s="54"/>
      <c r="I8" s="122"/>
      <c r="J8" s="279">
        <f>SUM(J4:J7)</f>
        <v>14200</v>
      </c>
      <c r="K8" s="280">
        <f>SUM(K4:K6)</f>
        <v>9695</v>
      </c>
      <c r="N8" s="3"/>
    </row>
    <row r="9" spans="1:15" ht="17.25">
      <c r="B9" s="3"/>
      <c r="F9" s="301">
        <f>ROUND(F8-G8,0)</f>
        <v>92833</v>
      </c>
      <c r="G9" s="300">
        <f>'HOJA DE TRABAJO'!N10</f>
        <v>2162</v>
      </c>
      <c r="H9" s="54" t="s">
        <v>243</v>
      </c>
      <c r="I9" s="122"/>
      <c r="J9" s="287">
        <f>J8-K8</f>
        <v>4505</v>
      </c>
      <c r="K9" s="293"/>
      <c r="N9" s="3"/>
    </row>
    <row r="10" spans="1:15" ht="17.25">
      <c r="F10" s="246">
        <f>'HOJA DE TRABAJO'!P10</f>
        <v>90671</v>
      </c>
      <c r="I10" s="122" t="s">
        <v>244</v>
      </c>
      <c r="J10" s="290">
        <f>'HOJA DE TRABAJO'!M11</f>
        <v>301</v>
      </c>
      <c r="K10" s="302"/>
    </row>
    <row r="11" spans="1:15">
      <c r="I11" s="19"/>
      <c r="J11" s="17">
        <f>'HOJA DE TRABAJO'!P11</f>
        <v>4806</v>
      </c>
    </row>
    <row r="12" spans="1:15">
      <c r="J12" s="8"/>
    </row>
    <row r="13" spans="1:15">
      <c r="B13" s="273" t="s">
        <v>122</v>
      </c>
      <c r="C13" s="273"/>
      <c r="D13" s="12"/>
      <c r="F13" s="273" t="s">
        <v>161</v>
      </c>
      <c r="G13" s="273"/>
      <c r="H13" s="16"/>
      <c r="J13" s="273" t="s">
        <v>162</v>
      </c>
      <c r="K13" s="273"/>
      <c r="L13" s="16"/>
      <c r="N13" s="273" t="s">
        <v>163</v>
      </c>
      <c r="O13" s="273"/>
    </row>
    <row r="14" spans="1:15" ht="17.25">
      <c r="B14" s="2"/>
      <c r="C14" s="305">
        <f>'ESQUEMA DE MAYOR'!B4+'ESQUEMA DE MAYOR'!F4+'ESQUEMA DE MAYOR'!J4+'ESQUEMA DE MAYOR'!N4</f>
        <v>127000</v>
      </c>
      <c r="D14" s="121" t="s">
        <v>176</v>
      </c>
      <c r="F14" s="2"/>
      <c r="G14" s="299">
        <f>(J5-K4)*PROBLEMAS!G12+'ESQUEMA DE MAYOR'!N13</f>
        <v>2153.4</v>
      </c>
      <c r="H14" s="54" t="s">
        <v>179</v>
      </c>
      <c r="I14" s="122" t="s">
        <v>178</v>
      </c>
      <c r="J14" s="306">
        <f>(J5-K4)*PROBLEMAS!D12*PROBLEMAS!H11</f>
        <v>320.10000000000002</v>
      </c>
      <c r="M14" s="122" t="s">
        <v>178</v>
      </c>
      <c r="N14" s="303">
        <f>(J5-K4)*PROBLEMAS!G12*PROBLEMAS!H11</f>
        <v>213.4</v>
      </c>
    </row>
    <row r="15" spans="1:15" ht="17.25">
      <c r="B15" s="3"/>
      <c r="C15" s="14"/>
      <c r="F15" s="4"/>
      <c r="G15" s="283">
        <f>J7+N15</f>
        <v>7770</v>
      </c>
      <c r="H15" s="54" t="s">
        <v>188</v>
      </c>
      <c r="I15" s="122" t="s">
        <v>180</v>
      </c>
      <c r="J15" s="307">
        <f>(J6*PROBLEMAS!G14)</f>
        <v>22</v>
      </c>
      <c r="M15" s="122" t="s">
        <v>187</v>
      </c>
      <c r="N15" s="277">
        <f>(J7*PROBLEMAS!H22)</f>
        <v>770</v>
      </c>
    </row>
    <row r="16" spans="1:15" ht="17.25">
      <c r="B16" s="3"/>
      <c r="F16" s="3"/>
      <c r="G16" s="299">
        <f>ROUND((SUM(G14:G15)),0)</f>
        <v>9923</v>
      </c>
      <c r="I16" s="122" t="s">
        <v>185</v>
      </c>
      <c r="J16" s="307">
        <f>(B34*PROBLEMAS!K19)</f>
        <v>1320</v>
      </c>
      <c r="M16" s="122" t="s">
        <v>190</v>
      </c>
      <c r="N16" s="288">
        <f>ROUND((F34/1.11)*PROBLEMAS!K24,0)</f>
        <v>495</v>
      </c>
      <c r="O16" s="1"/>
    </row>
    <row r="17" spans="1:16">
      <c r="B17" s="3"/>
      <c r="F17" s="3"/>
      <c r="I17" s="122" t="s">
        <v>190</v>
      </c>
      <c r="J17" s="306">
        <f>ROUND(C5-N16,0)</f>
        <v>55</v>
      </c>
      <c r="M17" s="122"/>
      <c r="N17" s="141">
        <f>ROUND((SUM(N14:N16)),0)</f>
        <v>1478</v>
      </c>
    </row>
    <row r="18" spans="1:16">
      <c r="B18" s="3"/>
      <c r="F18" s="3"/>
      <c r="I18" s="122" t="s">
        <v>193</v>
      </c>
      <c r="J18" s="308">
        <f>(N34+B44)*PROBLEMAS!G27</f>
        <v>220</v>
      </c>
      <c r="K18" s="1"/>
      <c r="N18" s="3"/>
    </row>
    <row r="19" spans="1:16" ht="17.25">
      <c r="B19" s="3"/>
      <c r="F19" s="3"/>
      <c r="I19" s="122"/>
      <c r="J19" s="306">
        <f>ROUND((SUM(J14:J18)),0)</f>
        <v>1937</v>
      </c>
      <c r="K19" s="293">
        <f>'HOJA DE TRABAJO'!N15</f>
        <v>2151</v>
      </c>
      <c r="L19" s="54" t="s">
        <v>245</v>
      </c>
      <c r="N19" s="3"/>
    </row>
    <row r="20" spans="1:16">
      <c r="I20" s="122" t="s">
        <v>246</v>
      </c>
      <c r="J20" s="309">
        <f>'HOJA DE TRABAJO'!M15</f>
        <v>214</v>
      </c>
      <c r="K20" s="1"/>
    </row>
    <row r="21" spans="1:16" ht="17.25" thickBot="1">
      <c r="J21" s="310">
        <f>SUM(J19:J20)</f>
        <v>2151</v>
      </c>
      <c r="K21" s="311">
        <f>SUM(K19:K20)</f>
        <v>2151</v>
      </c>
    </row>
    <row r="22" spans="1:16" ht="17.25" thickTop="1">
      <c r="J22" s="20"/>
    </row>
    <row r="23" spans="1:16">
      <c r="J23" s="18"/>
    </row>
    <row r="24" spans="1:16">
      <c r="A24" s="122"/>
      <c r="B24" s="273" t="s">
        <v>164</v>
      </c>
      <c r="C24" s="273"/>
      <c r="D24" s="12"/>
      <c r="F24" s="273" t="s">
        <v>165</v>
      </c>
      <c r="G24" s="273"/>
      <c r="H24" s="318"/>
      <c r="J24" s="273" t="s">
        <v>166</v>
      </c>
      <c r="K24" s="273"/>
      <c r="L24" s="16"/>
      <c r="N24" s="273" t="s">
        <v>167</v>
      </c>
      <c r="O24" s="273"/>
    </row>
    <row r="25" spans="1:16" ht="17.25">
      <c r="A25" s="122" t="s">
        <v>183</v>
      </c>
      <c r="B25" s="281">
        <f>(C25*PROBLEMAS!B17)</f>
        <v>360</v>
      </c>
      <c r="C25" s="276">
        <f>PROBLEMAS!C16*PROBLEMAS!E16</f>
        <v>12000</v>
      </c>
      <c r="D25" s="121" t="s">
        <v>182</v>
      </c>
      <c r="F25" s="2"/>
      <c r="G25" s="299">
        <f>(C25-B25)*PROBLEMAS!E17*PROBLEMAS!H16</f>
        <v>512.16</v>
      </c>
      <c r="H25" s="54" t="s">
        <v>182</v>
      </c>
      <c r="J25" s="3"/>
      <c r="K25" s="299">
        <f>(C25-B25)*PROBLEMAS!G17*PROBLEMAS!H16</f>
        <v>768.24</v>
      </c>
      <c r="L25" s="54" t="s">
        <v>182</v>
      </c>
      <c r="M25" s="122" t="s">
        <v>183</v>
      </c>
      <c r="N25" s="297">
        <f>(C25-B25)*PROBLEMAS!G17+'ESQUEMA DE MAYOR'!K23</f>
        <v>7752.24</v>
      </c>
      <c r="O25" t="s">
        <v>198</v>
      </c>
    </row>
    <row r="26" spans="1:16" ht="17.25">
      <c r="A26" s="122"/>
      <c r="B26" s="282"/>
      <c r="C26" s="302">
        <f>(PROBLEMAS!C30*PROBLEMAS!E30)</f>
        <v>17000</v>
      </c>
      <c r="D26" s="121" t="s">
        <v>195</v>
      </c>
      <c r="F26" s="4"/>
      <c r="G26" s="302">
        <f>(C26*PROBLEMAS!H30)*PROBLEMAS!K30</f>
        <v>935</v>
      </c>
      <c r="H26" s="54" t="s">
        <v>195</v>
      </c>
      <c r="J26" s="4"/>
      <c r="K26" s="302">
        <f>(C26*PROBLEMAS!H30)*PROBLEMAS!C31</f>
        <v>935</v>
      </c>
      <c r="L26" s="54" t="s">
        <v>195</v>
      </c>
      <c r="M26" s="122" t="s">
        <v>197</v>
      </c>
      <c r="N26" s="282">
        <f>(C26*PROBLEMAS!C31)+'ESQUEMA DE MAYOR'!K24</f>
        <v>9435</v>
      </c>
      <c r="O26" s="1"/>
    </row>
    <row r="27" spans="1:16" ht="18" thickBot="1">
      <c r="A27" s="122"/>
      <c r="B27" s="284">
        <f>SUM(B25)</f>
        <v>360</v>
      </c>
      <c r="C27" s="280">
        <f>SUM(C25:C26)</f>
        <v>29000</v>
      </c>
      <c r="D27" s="121"/>
      <c r="E27" s="122" t="s">
        <v>247</v>
      </c>
      <c r="F27" s="320">
        <f>'HOJA DE TRABAJO'!M18</f>
        <v>1447</v>
      </c>
      <c r="G27" s="319">
        <f>ROUND((SUM(G25:G26)),0)</f>
        <v>1447</v>
      </c>
      <c r="I27" s="122" t="s">
        <v>244</v>
      </c>
      <c r="J27" s="289">
        <f>'HOJA DE TRABAJO'!M19</f>
        <v>94</v>
      </c>
      <c r="K27" s="299">
        <f>ROUND((SUM(K25:K26)),0)</f>
        <v>1703</v>
      </c>
      <c r="L27" s="54"/>
      <c r="N27" s="279">
        <f>SUM(N25:N26)</f>
        <v>17187.239999999998</v>
      </c>
      <c r="O27" s="292">
        <f>'HOJA DE TRABAJO'!N20</f>
        <v>944</v>
      </c>
      <c r="P27" s="54" t="s">
        <v>249</v>
      </c>
    </row>
    <row r="28" spans="1:16" ht="18" thickTop="1">
      <c r="A28" s="122" t="s">
        <v>244</v>
      </c>
      <c r="B28" s="279">
        <f>'HOJA DE TRABAJO'!M17</f>
        <v>850</v>
      </c>
      <c r="C28" s="280">
        <f>C27-B27</f>
        <v>28640</v>
      </c>
      <c r="F28" s="3"/>
      <c r="J28" s="278"/>
      <c r="K28" s="283">
        <f>'HOJA DE TRABAJO'!N19</f>
        <v>330</v>
      </c>
      <c r="L28" s="54" t="s">
        <v>248</v>
      </c>
      <c r="N28" s="7">
        <f>'HOJA DE TRABAJO'!P20</f>
        <v>16243</v>
      </c>
    </row>
    <row r="29" spans="1:16" ht="18" thickBot="1">
      <c r="A29" s="122" t="s">
        <v>267</v>
      </c>
      <c r="B29" s="285">
        <f>C29</f>
        <v>27790</v>
      </c>
      <c r="C29" s="286">
        <f>'HOJA DE TRABAJO'!Q17</f>
        <v>27790</v>
      </c>
      <c r="F29" s="3"/>
      <c r="J29" s="235">
        <f>J27</f>
        <v>94</v>
      </c>
      <c r="K29" s="280">
        <f>K27+K28</f>
        <v>2033</v>
      </c>
      <c r="N29" s="3"/>
    </row>
    <row r="30" spans="1:16" ht="18" thickTop="1">
      <c r="A30" s="122"/>
      <c r="B30" s="20"/>
      <c r="J30" s="2"/>
      <c r="K30" s="293">
        <f>'HOJA DE TRABAJO'!Q19</f>
        <v>1939</v>
      </c>
    </row>
    <row r="33" spans="1:16">
      <c r="B33" s="273" t="s">
        <v>168</v>
      </c>
      <c r="C33" s="273"/>
      <c r="D33" s="12"/>
      <c r="F33" s="273" t="s">
        <v>172</v>
      </c>
      <c r="G33" s="273"/>
      <c r="H33" s="16"/>
      <c r="J33" s="273" t="s">
        <v>169</v>
      </c>
      <c r="K33" s="273"/>
      <c r="L33" s="16"/>
      <c r="N33" s="273" t="s">
        <v>170</v>
      </c>
      <c r="O33" s="273"/>
    </row>
    <row r="34" spans="1:16" ht="17.25">
      <c r="A34" s="9" t="s">
        <v>185</v>
      </c>
      <c r="B34" s="284">
        <f>(PROBLEMAS!D19*PROBLEMAS!H19)</f>
        <v>12000</v>
      </c>
      <c r="C34" s="280">
        <f>'HOJA DE TRABAJO'!N21</f>
        <v>2000</v>
      </c>
      <c r="D34" s="11" t="s">
        <v>250</v>
      </c>
      <c r="E34" s="9" t="s">
        <v>190</v>
      </c>
      <c r="F34" s="297">
        <f>PROBLEMAS!H24</f>
        <v>5000</v>
      </c>
      <c r="J34" s="3"/>
      <c r="K34" s="276">
        <f>PROBLEMAS!H24</f>
        <v>5000</v>
      </c>
      <c r="L34" s="54" t="s">
        <v>189</v>
      </c>
      <c r="M34" s="122" t="s">
        <v>193</v>
      </c>
      <c r="N34" s="281">
        <f>(PROBLEMAS!E27*PROBLEMAS!C28)</f>
        <v>1000</v>
      </c>
    </row>
    <row r="35" spans="1:16" ht="17.25">
      <c r="B35" s="142">
        <f>'HOJA DE TRABAJO'!P21</f>
        <v>10000</v>
      </c>
      <c r="F35" s="3"/>
      <c r="J35" s="4"/>
      <c r="K35" s="283">
        <f>'HOJA DE TRABAJO'!N23</f>
        <v>100</v>
      </c>
      <c r="L35" s="54" t="s">
        <v>195</v>
      </c>
      <c r="M35" s="122" t="s">
        <v>200</v>
      </c>
      <c r="N35" s="295">
        <f>G7*PROBLEMAS!J32</f>
        <v>1500</v>
      </c>
      <c r="O35" s="1"/>
    </row>
    <row r="36" spans="1:16" ht="17.25">
      <c r="B36" s="3"/>
      <c r="F36" s="3"/>
      <c r="J36" s="3"/>
      <c r="K36" s="276">
        <f>'HOJA DE TRABAJO'!Q23</f>
        <v>5100</v>
      </c>
      <c r="L36" s="54"/>
      <c r="M36" s="122"/>
      <c r="N36" s="281">
        <f>SUM(N34:N35)</f>
        <v>2500</v>
      </c>
      <c r="O36" s="276">
        <f>'HOJA DE TRABAJO'!N31</f>
        <v>250</v>
      </c>
      <c r="P36" s="54" t="s">
        <v>251</v>
      </c>
    </row>
    <row r="37" spans="1:16" ht="17.25">
      <c r="B37" s="3"/>
      <c r="F37" s="3"/>
      <c r="J37" s="3"/>
      <c r="M37" s="122" t="s">
        <v>252</v>
      </c>
      <c r="N37" s="291">
        <f>'HOJA DE TRABAJO'!M31</f>
        <v>344</v>
      </c>
      <c r="P37" s="54"/>
    </row>
    <row r="38" spans="1:16" ht="17.25">
      <c r="B38" s="3"/>
      <c r="F38" s="3"/>
      <c r="J38" s="3"/>
      <c r="M38" s="122" t="s">
        <v>253</v>
      </c>
      <c r="N38" s="291">
        <f>'HOJA DE TRABAJO'!M32</f>
        <v>1000</v>
      </c>
      <c r="P38" s="54"/>
    </row>
    <row r="39" spans="1:16" ht="17.25">
      <c r="B39" s="3"/>
      <c r="F39" s="3"/>
      <c r="J39" s="3"/>
      <c r="M39" s="122" t="s">
        <v>254</v>
      </c>
      <c r="N39" s="291">
        <f>'HOJA DE TRABAJO'!M33</f>
        <v>3600</v>
      </c>
      <c r="P39" s="54"/>
    </row>
    <row r="40" spans="1:16" ht="17.25">
      <c r="M40" s="122" t="s">
        <v>255</v>
      </c>
      <c r="N40" s="291">
        <f>'HOJA DE TRABAJO'!M34</f>
        <v>300</v>
      </c>
      <c r="P40" s="54"/>
    </row>
    <row r="41" spans="1:16" ht="17.25">
      <c r="M41" s="122" t="s">
        <v>256</v>
      </c>
      <c r="N41" s="290">
        <f>'HOJA DE TRABAJO'!M35</f>
        <v>50</v>
      </c>
      <c r="O41" s="1"/>
      <c r="P41" s="54"/>
    </row>
    <row r="42" spans="1:16" ht="18" thickBot="1">
      <c r="N42" s="317">
        <f>'HOJA DE TRABAJO'!P31</f>
        <v>7544</v>
      </c>
      <c r="O42" s="296">
        <f>N42</f>
        <v>7544</v>
      </c>
      <c r="P42" s="54" t="s">
        <v>266</v>
      </c>
    </row>
    <row r="43" spans="1:16" ht="17.25" thickTop="1">
      <c r="B43" s="273" t="s">
        <v>171</v>
      </c>
      <c r="C43" s="273"/>
      <c r="D43" s="12"/>
      <c r="E43" s="122"/>
      <c r="F43" s="273" t="s">
        <v>173</v>
      </c>
      <c r="G43" s="273"/>
      <c r="H43" s="16"/>
      <c r="J43" s="273" t="s">
        <v>218</v>
      </c>
      <c r="K43" s="273"/>
      <c r="N43" s="3"/>
    </row>
    <row r="44" spans="1:16" ht="17.25">
      <c r="A44" s="122" t="s">
        <v>193</v>
      </c>
      <c r="B44" s="304">
        <f>(PROBLEMAS!E27*PROBLEMAS!G28)</f>
        <v>1000</v>
      </c>
      <c r="E44" s="122" t="s">
        <v>183</v>
      </c>
      <c r="F44" s="287">
        <f>'TARGETA DE ALMACEN'!J13</f>
        <v>3525</v>
      </c>
      <c r="I44" s="122" t="s">
        <v>247</v>
      </c>
      <c r="J44" s="235">
        <f>J21</f>
        <v>2151</v>
      </c>
      <c r="K44" s="294">
        <f>F27</f>
        <v>1447</v>
      </c>
      <c r="L44" s="54" t="s">
        <v>245</v>
      </c>
    </row>
    <row r="45" spans="1:16" ht="17.25">
      <c r="A45" s="122" t="s">
        <v>200</v>
      </c>
      <c r="B45" s="295">
        <f>G7*PROBLEMAS!M32</f>
        <v>1500</v>
      </c>
      <c r="C45" s="1"/>
      <c r="E45" s="122" t="s">
        <v>197</v>
      </c>
      <c r="F45" s="290">
        <f>'TARGETA DE ALMACEN'!J15</f>
        <v>6020</v>
      </c>
      <c r="G45" s="1"/>
      <c r="H45" s="54"/>
      <c r="I45" s="122" t="s">
        <v>247</v>
      </c>
      <c r="J45" s="289">
        <f>'HOJA DE TRABAJO'!M43</f>
        <v>704</v>
      </c>
      <c r="K45" s="58"/>
    </row>
    <row r="46" spans="1:16" ht="17.25">
      <c r="A46" s="122"/>
      <c r="B46" s="281">
        <f>SUM(B44:B45)</f>
        <v>2500</v>
      </c>
      <c r="C46" s="298">
        <f>'HOJA DE TRABAJO'!N24</f>
        <v>250</v>
      </c>
      <c r="D46" s="121" t="s">
        <v>251</v>
      </c>
      <c r="E46" s="122"/>
      <c r="F46" s="279">
        <f>SUM(F44:F45)</f>
        <v>9545</v>
      </c>
      <c r="G46" s="292">
        <f>'HOJA DE TRABAJO'!N36</f>
        <v>301</v>
      </c>
      <c r="H46" s="54" t="s">
        <v>249</v>
      </c>
      <c r="I46" s="122"/>
      <c r="J46" s="3"/>
    </row>
    <row r="47" spans="1:16" ht="17.25">
      <c r="A47" s="122" t="s">
        <v>257</v>
      </c>
      <c r="B47" s="287">
        <f>'HOJA DE TRABAJO'!M24</f>
        <v>98</v>
      </c>
      <c r="D47" s="121"/>
      <c r="F47" s="315">
        <f>'HOJA DE TRABAJO'!P36</f>
        <v>9244</v>
      </c>
      <c r="G47" s="316">
        <f>F47</f>
        <v>9244</v>
      </c>
      <c r="H47" s="54" t="s">
        <v>266</v>
      </c>
      <c r="J47" s="3"/>
    </row>
    <row r="48" spans="1:16" ht="17.25">
      <c r="A48" s="122" t="s">
        <v>246</v>
      </c>
      <c r="B48" s="287">
        <f>'HOJA DE TRABAJO'!M25</f>
        <v>1948</v>
      </c>
      <c r="D48" s="121"/>
      <c r="F48" s="3"/>
      <c r="J48" s="3"/>
    </row>
    <row r="49" spans="1:14" ht="17.25">
      <c r="A49" s="122" t="s">
        <v>253</v>
      </c>
      <c r="B49" s="287">
        <f>'HOJA DE TRABAJO'!M26</f>
        <v>1000</v>
      </c>
      <c r="D49" s="121"/>
      <c r="F49" s="3"/>
    </row>
    <row r="50" spans="1:14" ht="17.25">
      <c r="A50" s="122" t="s">
        <v>254</v>
      </c>
      <c r="B50" s="287">
        <f>'HOJA DE TRABAJO'!M27</f>
        <v>2400</v>
      </c>
      <c r="D50" s="121"/>
    </row>
    <row r="51" spans="1:14" ht="17.25">
      <c r="A51" s="122" t="s">
        <v>255</v>
      </c>
      <c r="B51" s="287">
        <f>'HOJA DE TRABAJO'!M28</f>
        <v>200</v>
      </c>
      <c r="D51" s="121"/>
    </row>
    <row r="52" spans="1:14" ht="17.25">
      <c r="A52" s="122" t="s">
        <v>256</v>
      </c>
      <c r="B52" s="295">
        <f>'HOJA DE TRABAJO'!M29</f>
        <v>50</v>
      </c>
      <c r="C52" s="1"/>
      <c r="D52" s="121"/>
    </row>
    <row r="53" spans="1:14" ht="18" thickBot="1">
      <c r="B53" s="313">
        <f>'HOJA DE TRABAJO'!P24</f>
        <v>7946</v>
      </c>
      <c r="C53" s="314">
        <f>B53</f>
        <v>7946</v>
      </c>
      <c r="D53" s="121" t="s">
        <v>266</v>
      </c>
    </row>
    <row r="54" spans="1:14" ht="17.25" thickTop="1">
      <c r="B54" s="3"/>
      <c r="D54" s="121"/>
    </row>
    <row r="57" spans="1:14">
      <c r="B57" s="273" t="s">
        <v>258</v>
      </c>
      <c r="C57" s="273"/>
      <c r="E57" s="273" t="s">
        <v>260</v>
      </c>
      <c r="F57" s="273"/>
      <c r="I57" s="273" t="s">
        <v>261</v>
      </c>
      <c r="J57" s="273"/>
      <c r="M57" s="273" t="s">
        <v>228</v>
      </c>
      <c r="N57" s="273"/>
    </row>
    <row r="58" spans="1:14" ht="17.25">
      <c r="B58" s="2"/>
      <c r="C58" s="299">
        <f>'HOJA DE TRABAJO'!N37</f>
        <v>344</v>
      </c>
      <c r="D58" s="121" t="s">
        <v>259</v>
      </c>
      <c r="E58" s="21"/>
      <c r="F58" s="276">
        <f>'HOJA DE TRABAJO'!N38</f>
        <v>6000</v>
      </c>
      <c r="G58" s="54" t="s">
        <v>263</v>
      </c>
      <c r="I58" s="21"/>
      <c r="J58" s="276">
        <f>'HOJA DE TRABAJO'!N39</f>
        <v>500</v>
      </c>
      <c r="K58" s="54" t="s">
        <v>262</v>
      </c>
      <c r="L58" s="122" t="s">
        <v>264</v>
      </c>
      <c r="M58" s="275">
        <f>'HOJA DE TRABAJO'!M40</f>
        <v>500</v>
      </c>
    </row>
    <row r="59" spans="1:14">
      <c r="B59" s="3"/>
      <c r="E59" s="22"/>
      <c r="I59" s="22"/>
      <c r="M59" s="22"/>
    </row>
    <row r="60" spans="1:14">
      <c r="B60" s="3"/>
      <c r="E60" s="22"/>
      <c r="I60" s="22"/>
      <c r="M60" s="22"/>
    </row>
    <row r="61" spans="1:14">
      <c r="B61" s="3"/>
      <c r="E61" s="22"/>
      <c r="I61" s="22"/>
      <c r="M61" s="22"/>
    </row>
    <row r="62" spans="1:14">
      <c r="B62" s="3"/>
      <c r="E62" s="22"/>
      <c r="I62" s="22"/>
      <c r="M62" s="22"/>
    </row>
    <row r="66" spans="1:16">
      <c r="B66" s="273" t="s">
        <v>241</v>
      </c>
      <c r="C66" s="273"/>
      <c r="F66" s="273" t="s">
        <v>217</v>
      </c>
      <c r="G66" s="273"/>
      <c r="J66" s="273" t="s">
        <v>110</v>
      </c>
      <c r="K66" s="273"/>
      <c r="L66" s="54"/>
      <c r="N66" s="273" t="s">
        <v>234</v>
      </c>
      <c r="O66" s="273"/>
    </row>
    <row r="67" spans="1:16" ht="18" thickBot="1">
      <c r="A67" s="122" t="s">
        <v>267</v>
      </c>
      <c r="B67" s="285">
        <f>C67</f>
        <v>3000</v>
      </c>
      <c r="C67" s="286">
        <f>'HOJA DE TRABAJO'!N41</f>
        <v>3000</v>
      </c>
      <c r="D67" s="121" t="s">
        <v>248</v>
      </c>
      <c r="E67" s="122" t="s">
        <v>265</v>
      </c>
      <c r="F67" s="287">
        <f>'HOJA DE TRABAJO'!M42</f>
        <v>3330</v>
      </c>
      <c r="I67" s="122" t="s">
        <v>267</v>
      </c>
      <c r="J67" s="279">
        <f>G47</f>
        <v>9244</v>
      </c>
      <c r="K67" s="280">
        <f>B29</f>
        <v>27790</v>
      </c>
      <c r="L67" s="54" t="s">
        <v>266</v>
      </c>
      <c r="N67" s="5"/>
      <c r="O67" s="276">
        <f>J71</f>
        <v>6056</v>
      </c>
      <c r="P67" s="54" t="s">
        <v>269</v>
      </c>
    </row>
    <row r="68" spans="1:16" ht="18" thickTop="1">
      <c r="B68" s="3"/>
      <c r="F68" s="3"/>
      <c r="I68" s="122" t="s">
        <v>267</v>
      </c>
      <c r="J68" s="281">
        <f>C53</f>
        <v>7946</v>
      </c>
      <c r="K68" s="276">
        <f>K67-J67</f>
        <v>18546</v>
      </c>
      <c r="L68" s="54"/>
      <c r="N68" s="3"/>
    </row>
    <row r="69" spans="1:16" ht="17.25">
      <c r="B69" s="3"/>
      <c r="F69" s="3"/>
      <c r="I69" s="122" t="s">
        <v>267</v>
      </c>
      <c r="J69" s="282">
        <f>O42</f>
        <v>7544</v>
      </c>
      <c r="K69" s="283">
        <f>B67</f>
        <v>3000</v>
      </c>
      <c r="L69" s="54" t="s">
        <v>266</v>
      </c>
      <c r="N69" s="3"/>
    </row>
    <row r="70" spans="1:16" ht="17.25">
      <c r="B70" s="3"/>
      <c r="F70" s="3"/>
      <c r="I70" s="122"/>
      <c r="J70" s="284">
        <f>J69+J68</f>
        <v>15490</v>
      </c>
      <c r="K70" s="280">
        <f>K68+K69</f>
        <v>21546</v>
      </c>
      <c r="N70" s="3"/>
    </row>
    <row r="71" spans="1:16" ht="18" thickBot="1">
      <c r="B71" s="3"/>
      <c r="F71" s="3"/>
      <c r="I71" s="122" t="s">
        <v>268</v>
      </c>
      <c r="J71" s="285">
        <f>K71</f>
        <v>6056</v>
      </c>
      <c r="K71" s="286">
        <f>K70-J70</f>
        <v>6056</v>
      </c>
    </row>
    <row r="72" spans="1:16" ht="17.25" thickTop="1">
      <c r="B72" s="3"/>
      <c r="F72" s="3"/>
      <c r="I72" s="122"/>
      <c r="J72" s="3"/>
    </row>
  </sheetData>
  <mergeCells count="28">
    <mergeCell ref="B13:C13"/>
    <mergeCell ref="F13:G13"/>
    <mergeCell ref="J13:K13"/>
    <mergeCell ref="N13:O13"/>
    <mergeCell ref="G1:K1"/>
    <mergeCell ref="B3:C3"/>
    <mergeCell ref="F3:G3"/>
    <mergeCell ref="J3:K3"/>
    <mergeCell ref="N3:O3"/>
    <mergeCell ref="B24:C24"/>
    <mergeCell ref="F24:G24"/>
    <mergeCell ref="J24:K24"/>
    <mergeCell ref="N24:O24"/>
    <mergeCell ref="B33:C33"/>
    <mergeCell ref="F33:G33"/>
    <mergeCell ref="J33:K33"/>
    <mergeCell ref="N33:O33"/>
    <mergeCell ref="B43:C43"/>
    <mergeCell ref="F43:G43"/>
    <mergeCell ref="J43:K43"/>
    <mergeCell ref="B57:C57"/>
    <mergeCell ref="E57:F57"/>
    <mergeCell ref="I57:J57"/>
    <mergeCell ref="M57:N57"/>
    <mergeCell ref="B66:C66"/>
    <mergeCell ref="F66:G66"/>
    <mergeCell ref="J66:K66"/>
    <mergeCell ref="N66:O6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L24"/>
  <sheetViews>
    <sheetView topLeftCell="A7" workbookViewId="0">
      <selection activeCell="N19" sqref="N19"/>
    </sheetView>
  </sheetViews>
  <sheetFormatPr baseColWidth="10" defaultRowHeight="16.5"/>
  <cols>
    <col min="1" max="1" width="11" style="26"/>
    <col min="2" max="2" width="11.625" style="26" customWidth="1"/>
    <col min="3" max="5" width="11" style="26"/>
    <col min="6" max="6" width="12.375" style="26" customWidth="1"/>
    <col min="7" max="11" width="11" style="26"/>
    <col min="12" max="12" width="12.5" style="26" customWidth="1"/>
    <col min="13" max="16384" width="11" style="26"/>
  </cols>
  <sheetData>
    <row r="1" spans="2:12" ht="17.25">
      <c r="F1" s="299"/>
      <c r="G1" s="299"/>
      <c r="H1" s="299"/>
    </row>
    <row r="2" spans="2:12" ht="17.25">
      <c r="F2" s="321" t="s">
        <v>136</v>
      </c>
      <c r="G2" s="321"/>
      <c r="H2" s="321"/>
    </row>
    <row r="4" spans="2:12">
      <c r="B4" s="322" t="s">
        <v>137</v>
      </c>
      <c r="C4" s="322" t="s">
        <v>148</v>
      </c>
      <c r="D4" s="227"/>
      <c r="E4" s="227"/>
      <c r="F4" s="227"/>
      <c r="G4" s="227"/>
      <c r="H4" s="164" t="s">
        <v>140</v>
      </c>
      <c r="I4" s="164"/>
      <c r="J4" s="322" t="s">
        <v>149</v>
      </c>
      <c r="K4" s="227"/>
      <c r="L4" s="322" t="s">
        <v>141</v>
      </c>
    </row>
    <row r="5" spans="2:12">
      <c r="B5" s="322" t="s">
        <v>5</v>
      </c>
      <c r="C5" s="227"/>
      <c r="D5" s="227"/>
      <c r="E5" s="164" t="s">
        <v>138</v>
      </c>
      <c r="F5" s="164"/>
      <c r="G5" s="227"/>
      <c r="H5" s="227"/>
      <c r="I5" s="322" t="s">
        <v>139</v>
      </c>
      <c r="J5" s="227"/>
      <c r="K5" s="227"/>
      <c r="L5" s="322" t="s">
        <v>142</v>
      </c>
    </row>
    <row r="6" spans="2:12">
      <c r="B6" s="322" t="s">
        <v>143</v>
      </c>
      <c r="C6" s="227"/>
      <c r="D6" s="227"/>
      <c r="E6" s="164" t="s">
        <v>145</v>
      </c>
      <c r="F6" s="164"/>
      <c r="G6" s="322" t="s">
        <v>146</v>
      </c>
      <c r="H6" s="322" t="s">
        <v>147</v>
      </c>
      <c r="I6" s="164" t="s">
        <v>145</v>
      </c>
      <c r="J6" s="164"/>
      <c r="K6" s="322" t="s">
        <v>146</v>
      </c>
      <c r="L6" s="322" t="s">
        <v>147</v>
      </c>
    </row>
    <row r="7" spans="2:12">
      <c r="B7" s="322" t="s">
        <v>144</v>
      </c>
      <c r="C7" s="227"/>
      <c r="D7" s="227"/>
      <c r="E7" s="323">
        <v>41000</v>
      </c>
      <c r="F7" s="164"/>
      <c r="G7" s="227"/>
      <c r="H7" s="227"/>
      <c r="I7" s="323">
        <v>41000</v>
      </c>
      <c r="J7" s="164"/>
      <c r="K7" s="227"/>
      <c r="L7" s="227"/>
    </row>
    <row r="8" spans="2:12">
      <c r="B8" s="227"/>
      <c r="C8" s="227"/>
      <c r="D8" s="164" t="s">
        <v>150</v>
      </c>
      <c r="E8" s="164"/>
      <c r="F8" s="164"/>
      <c r="G8" s="164" t="s">
        <v>154</v>
      </c>
      <c r="H8" s="164"/>
      <c r="I8" s="164" t="s">
        <v>157</v>
      </c>
      <c r="J8" s="164"/>
      <c r="K8" s="164"/>
      <c r="L8" s="227"/>
    </row>
    <row r="9" spans="2:12">
      <c r="B9" s="322" t="s">
        <v>145</v>
      </c>
      <c r="C9" s="322" t="s">
        <v>141</v>
      </c>
      <c r="D9" s="322" t="s">
        <v>151</v>
      </c>
      <c r="E9" s="322" t="s">
        <v>152</v>
      </c>
      <c r="F9" s="322" t="s">
        <v>153</v>
      </c>
      <c r="G9" s="322" t="s">
        <v>155</v>
      </c>
      <c r="H9" s="322" t="s">
        <v>156</v>
      </c>
      <c r="I9" s="322" t="s">
        <v>104</v>
      </c>
      <c r="J9" s="322" t="s">
        <v>105</v>
      </c>
      <c r="K9" s="322" t="s">
        <v>158</v>
      </c>
      <c r="L9" s="227"/>
    </row>
    <row r="10" spans="2:12">
      <c r="B10" s="227"/>
      <c r="C10" s="227" t="str">
        <f>PROBLEMAS!A5</f>
        <v>1.-</v>
      </c>
      <c r="D10" s="227">
        <f>PROBLEMAS!C8</f>
        <v>10</v>
      </c>
      <c r="E10" s="227"/>
      <c r="F10" s="227">
        <f>D10</f>
        <v>10</v>
      </c>
      <c r="G10" s="228">
        <f>PROBLEMAS!F8</f>
        <v>200</v>
      </c>
      <c r="H10" s="227"/>
      <c r="I10" s="228">
        <f>D10*G10</f>
        <v>2000</v>
      </c>
      <c r="J10" s="227"/>
      <c r="K10" s="228">
        <f>I10</f>
        <v>2000</v>
      </c>
      <c r="L10" s="227"/>
    </row>
    <row r="11" spans="2:12">
      <c r="B11" s="227"/>
      <c r="C11" s="227" t="str">
        <f>PROBLEMAS!A11</f>
        <v>2.-</v>
      </c>
      <c r="D11" s="227">
        <f>PROBLEMAS!C11</f>
        <v>20</v>
      </c>
      <c r="E11" s="227"/>
      <c r="F11" s="227">
        <f>D11+D10</f>
        <v>30</v>
      </c>
      <c r="G11" s="228">
        <f>PROBLEMAS!E11</f>
        <v>250</v>
      </c>
      <c r="H11" s="229">
        <f>ROUND(K11/F11,0)</f>
        <v>228</v>
      </c>
      <c r="I11" s="228">
        <f>D11*G11</f>
        <v>5000</v>
      </c>
      <c r="J11" s="228">
        <f>I11*PROBLEMAS!B12</f>
        <v>150</v>
      </c>
      <c r="K11" s="228">
        <f>I11+K10-J11</f>
        <v>6850</v>
      </c>
      <c r="L11" s="227"/>
    </row>
    <row r="12" spans="2:12">
      <c r="B12" s="227"/>
      <c r="C12" s="227" t="str">
        <f>PROBLEMAS!A14</f>
        <v>3.-</v>
      </c>
      <c r="D12" s="227"/>
      <c r="E12" s="227"/>
      <c r="F12" s="227"/>
      <c r="G12" s="227"/>
      <c r="H12" s="228">
        <f>K12/F11</f>
        <v>235</v>
      </c>
      <c r="I12" s="228">
        <f>PROBLEMAS!E14</f>
        <v>200</v>
      </c>
      <c r="J12" s="227"/>
      <c r="K12" s="228">
        <f>K11+I12</f>
        <v>7050</v>
      </c>
      <c r="L12" s="227"/>
    </row>
    <row r="13" spans="2:12">
      <c r="B13" s="227"/>
      <c r="C13" s="227" t="str">
        <f>PROBLEMAS!A16</f>
        <v>4.-</v>
      </c>
      <c r="D13" s="227"/>
      <c r="E13" s="227">
        <f>PROBLEMAS!C16</f>
        <v>15</v>
      </c>
      <c r="F13" s="227">
        <f>F11-E13</f>
        <v>15</v>
      </c>
      <c r="G13" s="227"/>
      <c r="H13" s="228">
        <f>H12</f>
        <v>235</v>
      </c>
      <c r="I13" s="227"/>
      <c r="J13" s="228">
        <f>E13*H13</f>
        <v>3525</v>
      </c>
      <c r="K13" s="228">
        <f>K12-J13</f>
        <v>3525</v>
      </c>
      <c r="L13" s="227"/>
    </row>
    <row r="14" spans="2:12">
      <c r="B14" s="227"/>
      <c r="C14" s="227" t="str">
        <f>PROBLEMAS!A22</f>
        <v>6.-</v>
      </c>
      <c r="D14" s="227">
        <f>PROBLEMAS!C22</f>
        <v>20</v>
      </c>
      <c r="E14" s="227"/>
      <c r="F14" s="227">
        <f>D14+F13</f>
        <v>35</v>
      </c>
      <c r="G14" s="228">
        <f>PROBLEMAS!E22</f>
        <v>350</v>
      </c>
      <c r="H14" s="229">
        <f>ROUND(K14/F14,0)</f>
        <v>301</v>
      </c>
      <c r="I14" s="228">
        <f>D14*G14</f>
        <v>7000</v>
      </c>
      <c r="J14" s="227"/>
      <c r="K14" s="228">
        <f>K13+I14</f>
        <v>10525</v>
      </c>
      <c r="L14" s="227"/>
    </row>
    <row r="15" spans="2:12">
      <c r="B15" s="227"/>
      <c r="C15" s="227" t="str">
        <f>PROBLEMAS!A30</f>
        <v>9.-</v>
      </c>
      <c r="D15" s="227"/>
      <c r="E15" s="227">
        <f>PROBLEMAS!C30</f>
        <v>20</v>
      </c>
      <c r="F15" s="227">
        <f>F14-E15</f>
        <v>15</v>
      </c>
      <c r="G15" s="227"/>
      <c r="H15" s="229">
        <f>H14</f>
        <v>301</v>
      </c>
      <c r="I15" s="227"/>
      <c r="J15" s="229">
        <f>H15*E15</f>
        <v>6020</v>
      </c>
      <c r="K15" s="229">
        <f>K14-J15</f>
        <v>4505</v>
      </c>
      <c r="L15" s="227"/>
    </row>
    <row r="16" spans="2:12">
      <c r="B16" s="227"/>
      <c r="C16" s="227" t="s">
        <v>220</v>
      </c>
      <c r="D16" s="227">
        <f>'PROB. AJUSTES'!C13</f>
        <v>1</v>
      </c>
      <c r="E16" s="227"/>
      <c r="F16" s="227">
        <f>F15+D16</f>
        <v>16</v>
      </c>
      <c r="G16" s="227"/>
      <c r="H16" s="229">
        <f>H15</f>
        <v>301</v>
      </c>
      <c r="I16" s="229">
        <f>H16*D16</f>
        <v>301</v>
      </c>
      <c r="J16" s="227"/>
      <c r="K16" s="229">
        <f>K15+I16</f>
        <v>4806</v>
      </c>
      <c r="L16" s="227"/>
    </row>
    <row r="17" spans="2:12"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</row>
    <row r="18" spans="2:12"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</row>
    <row r="19" spans="2:12"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</row>
    <row r="20" spans="2:12"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</row>
    <row r="21" spans="2:12"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</row>
    <row r="22" spans="2:12"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</row>
    <row r="23" spans="2:12"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</row>
    <row r="24" spans="2:12"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</row>
  </sheetData>
  <mergeCells count="10">
    <mergeCell ref="D8:F8"/>
    <mergeCell ref="G8:H8"/>
    <mergeCell ref="I8:K8"/>
    <mergeCell ref="F2:H2"/>
    <mergeCell ref="E5:F5"/>
    <mergeCell ref="H4:I4"/>
    <mergeCell ref="E6:F6"/>
    <mergeCell ref="E7:F7"/>
    <mergeCell ref="I6:J6"/>
    <mergeCell ref="I7:J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F1:N30"/>
  <sheetViews>
    <sheetView tabSelected="1" topLeftCell="B1" workbookViewId="0">
      <selection activeCell="F2" sqref="F2:H2"/>
    </sheetView>
  </sheetViews>
  <sheetFormatPr baseColWidth="10" defaultRowHeight="16.5"/>
  <cols>
    <col min="1" max="12" width="11" style="26"/>
    <col min="13" max="13" width="26.125" style="30" customWidth="1"/>
    <col min="14" max="16384" width="11" style="26"/>
  </cols>
  <sheetData>
    <row r="1" spans="6:14" ht="16.5" customHeight="1">
      <c r="F1" s="25"/>
      <c r="G1" s="24"/>
      <c r="H1" s="25"/>
    </row>
    <row r="2" spans="6:14" ht="17.25" customHeight="1">
      <c r="F2" s="150" t="s">
        <v>279</v>
      </c>
      <c r="G2" s="150"/>
      <c r="H2" s="150"/>
    </row>
    <row r="7" spans="6:14" ht="17.25">
      <c r="M7" s="227" t="s">
        <v>159</v>
      </c>
      <c r="N7" s="324">
        <f>'BALANCE GENERAL'!E9</f>
        <v>4130</v>
      </c>
    </row>
    <row r="8" spans="6:14" ht="17.25">
      <c r="M8" s="227" t="s">
        <v>4</v>
      </c>
      <c r="N8" s="325">
        <f>'BALANCE GENERAL'!E10</f>
        <v>90671</v>
      </c>
    </row>
    <row r="9" spans="6:14" ht="17.25">
      <c r="M9" s="227" t="s">
        <v>5</v>
      </c>
      <c r="N9" s="325">
        <f>'BALANCE GENERAL'!E11</f>
        <v>4806</v>
      </c>
    </row>
    <row r="10" spans="6:14" ht="17.25">
      <c r="M10" s="227" t="s">
        <v>167</v>
      </c>
      <c r="N10" s="325">
        <f>'BALANCE GENERAL'!E12</f>
        <v>15899</v>
      </c>
    </row>
    <row r="11" spans="6:14" ht="17.25">
      <c r="M11" s="227" t="s">
        <v>201</v>
      </c>
      <c r="N11" s="325">
        <f>'BALANCE GENERAL'!E14</f>
        <v>1478</v>
      </c>
    </row>
    <row r="12" spans="6:14" ht="17.25">
      <c r="M12" s="227" t="s">
        <v>238</v>
      </c>
      <c r="N12" s="325">
        <f>'BALANCE GENERAL'!E15</f>
        <v>10500</v>
      </c>
    </row>
    <row r="13" spans="6:14" ht="17.25">
      <c r="M13" s="227" t="s">
        <v>218</v>
      </c>
      <c r="N13" s="325">
        <f>'BALANCE GENERAL'!E16</f>
        <v>704</v>
      </c>
    </row>
    <row r="14" spans="6:14" ht="17.25">
      <c r="M14" s="227" t="s">
        <v>217</v>
      </c>
      <c r="N14" s="324">
        <f>'BALANCE GENERAL'!E17</f>
        <v>3330</v>
      </c>
    </row>
    <row r="15" spans="6:14" ht="17.25">
      <c r="M15" s="227" t="s">
        <v>9</v>
      </c>
      <c r="N15" s="324">
        <f>'BALANCE GENERAL'!E20</f>
        <v>14000</v>
      </c>
    </row>
    <row r="16" spans="6:14" ht="17.25">
      <c r="M16" s="227" t="s">
        <v>207</v>
      </c>
      <c r="N16" s="324">
        <f>'BALANCE GENERAL'!E22</f>
        <v>4500</v>
      </c>
    </row>
    <row r="17" spans="6:14" ht="17.25">
      <c r="M17" s="227" t="s">
        <v>228</v>
      </c>
      <c r="N17" s="324">
        <f>'BALANCE GENERAL'!E24</f>
        <v>0</v>
      </c>
    </row>
    <row r="18" spans="6:14" ht="17.25">
      <c r="M18" s="227" t="s">
        <v>161</v>
      </c>
      <c r="N18" s="157">
        <f>'BALANCE GENERAL'!K9</f>
        <v>9923</v>
      </c>
    </row>
    <row r="19" spans="6:14" ht="17.25">
      <c r="M19" s="227" t="s">
        <v>227</v>
      </c>
      <c r="N19" s="325">
        <f>'BALANCE GENERAL'!K10</f>
        <v>1939</v>
      </c>
    </row>
    <row r="20" spans="6:14" ht="17.25">
      <c r="M20" s="227" t="s">
        <v>204</v>
      </c>
      <c r="N20" s="324">
        <f>'BALANCE GENERAL'!K11</f>
        <v>5100</v>
      </c>
    </row>
    <row r="21" spans="6:14" ht="17.25">
      <c r="M21" s="227" t="s">
        <v>122</v>
      </c>
      <c r="N21" s="324">
        <f>'BALANCE GENERAL'!K22</f>
        <v>127000</v>
      </c>
    </row>
    <row r="22" spans="6:14" ht="17.25">
      <c r="M22" s="227" t="s">
        <v>234</v>
      </c>
      <c r="N22" s="325">
        <f>'BALANCE GENERAL'!K23</f>
        <v>6056</v>
      </c>
    </row>
    <row r="27" spans="6:14">
      <c r="I27" s="26" t="s">
        <v>198</v>
      </c>
    </row>
    <row r="30" spans="6:14">
      <c r="F30" s="47"/>
      <c r="G30" s="47"/>
      <c r="H30" s="47"/>
    </row>
  </sheetData>
  <mergeCells count="2">
    <mergeCell ref="F30:H30"/>
    <mergeCell ref="F2:H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32"/>
  <sheetViews>
    <sheetView topLeftCell="D61" zoomScale="220" zoomScaleNormal="220" workbookViewId="0">
      <selection activeCell="D12" sqref="D12"/>
    </sheetView>
  </sheetViews>
  <sheetFormatPr baseColWidth="10" defaultRowHeight="16.5"/>
  <cols>
    <col min="2" max="2" width="69.25" bestFit="1" customWidth="1"/>
    <col min="4" max="4" width="117.25" bestFit="1" customWidth="1"/>
    <col min="5" max="5" width="19.5" customWidth="1"/>
    <col min="6" max="6" width="13.5" customWidth="1"/>
    <col min="7" max="7" width="5.875" customWidth="1"/>
  </cols>
  <sheetData>
    <row r="2" spans="1:13" ht="17.25">
      <c r="E2" s="96" t="s">
        <v>54</v>
      </c>
      <c r="F2" s="96"/>
      <c r="G2" s="96"/>
    </row>
    <row r="6" spans="1:13">
      <c r="A6" s="100" t="s">
        <v>1</v>
      </c>
      <c r="B6" s="100" t="s">
        <v>55</v>
      </c>
      <c r="C6" s="100"/>
      <c r="D6" s="100"/>
      <c r="E6" s="100"/>
      <c r="F6" s="97">
        <v>4130</v>
      </c>
      <c r="G6" s="63" t="s">
        <v>56</v>
      </c>
      <c r="H6" s="63"/>
      <c r="I6" s="63"/>
      <c r="J6" s="63"/>
      <c r="K6" s="63"/>
      <c r="L6" s="63"/>
      <c r="M6" s="63"/>
    </row>
    <row r="7" spans="1:13">
      <c r="A7" s="63"/>
      <c r="B7" s="102" t="s">
        <v>57</v>
      </c>
      <c r="C7" s="102"/>
      <c r="D7" s="102"/>
      <c r="E7" s="102"/>
      <c r="F7" s="103"/>
      <c r="G7" s="103"/>
      <c r="H7" s="103"/>
      <c r="I7" s="103"/>
      <c r="J7" s="103"/>
      <c r="K7" s="103"/>
      <c r="L7" s="103"/>
      <c r="M7" s="103"/>
    </row>
    <row r="8" spans="1:13">
      <c r="A8" s="101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>
      <c r="A9" s="100" t="s">
        <v>10</v>
      </c>
      <c r="B9" s="104" t="s">
        <v>58</v>
      </c>
      <c r="C9" s="104"/>
      <c r="D9" s="104"/>
      <c r="E9" s="104"/>
      <c r="F9" s="104"/>
      <c r="G9" s="105">
        <v>90671</v>
      </c>
      <c r="H9" s="106" t="s">
        <v>59</v>
      </c>
      <c r="I9" s="106"/>
      <c r="J9" s="106"/>
      <c r="K9" s="106"/>
      <c r="L9" s="106"/>
      <c r="M9" s="106"/>
    </row>
    <row r="10" spans="1:13">
      <c r="A10" s="63"/>
      <c r="B10" s="102" t="s">
        <v>60</v>
      </c>
      <c r="C10" s="102"/>
      <c r="D10" s="102"/>
      <c r="E10" s="102"/>
      <c r="F10" s="102"/>
      <c r="G10" s="107">
        <v>0.1</v>
      </c>
      <c r="H10" s="103" t="s">
        <v>61</v>
      </c>
      <c r="I10" s="103"/>
      <c r="J10" s="103"/>
      <c r="K10" s="103"/>
      <c r="L10" s="103"/>
      <c r="M10" s="103"/>
    </row>
    <row r="11" spans="1:13">
      <c r="A11" s="101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>
      <c r="A12" s="100" t="s">
        <v>17</v>
      </c>
      <c r="B12" s="106" t="s">
        <v>62</v>
      </c>
      <c r="C12" s="106"/>
      <c r="D12" s="106"/>
      <c r="E12" s="105">
        <v>4806</v>
      </c>
      <c r="F12" s="106" t="s">
        <v>63</v>
      </c>
      <c r="G12" s="106"/>
      <c r="H12" s="106"/>
      <c r="I12" s="106"/>
      <c r="J12" s="106"/>
      <c r="K12" s="106"/>
      <c r="L12" s="106"/>
      <c r="M12" s="106"/>
    </row>
    <row r="13" spans="1:13" s="109" customFormat="1" ht="13.5">
      <c r="A13" s="108"/>
      <c r="B13" s="108" t="s">
        <v>64</v>
      </c>
      <c r="C13" s="108">
        <v>1</v>
      </c>
      <c r="D13" s="108" t="s">
        <v>65</v>
      </c>
      <c r="E13" s="108"/>
      <c r="F13" s="108"/>
      <c r="G13" s="108"/>
      <c r="H13" s="108"/>
      <c r="I13" s="108"/>
      <c r="J13" s="108"/>
      <c r="K13" s="108"/>
      <c r="L13" s="108"/>
      <c r="M13" s="108"/>
    </row>
    <row r="14" spans="1:13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</row>
    <row r="15" spans="1:13">
      <c r="A15" s="63" t="s">
        <v>21</v>
      </c>
      <c r="B15" s="63" t="s">
        <v>66</v>
      </c>
      <c r="C15" s="63"/>
      <c r="D15" s="63"/>
      <c r="E15" s="98">
        <v>0.02</v>
      </c>
      <c r="F15" s="63" t="s">
        <v>67</v>
      </c>
      <c r="G15" s="63"/>
      <c r="H15" s="63"/>
      <c r="I15" s="63"/>
      <c r="J15" s="63"/>
      <c r="K15" s="63"/>
      <c r="L15" s="63"/>
      <c r="M15" s="63"/>
    </row>
    <row r="16" spans="1:13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</row>
    <row r="17" spans="1:13">
      <c r="A17" s="63" t="s">
        <v>68</v>
      </c>
      <c r="B17" s="63" t="s">
        <v>70</v>
      </c>
      <c r="C17" s="98"/>
      <c r="D17" s="63">
        <v>1</v>
      </c>
      <c r="E17" s="63" t="s">
        <v>71</v>
      </c>
      <c r="F17" s="63"/>
      <c r="G17" s="63"/>
      <c r="H17" s="63"/>
      <c r="I17" s="63"/>
      <c r="J17" s="63"/>
      <c r="K17" s="63"/>
      <c r="L17" s="63"/>
      <c r="M17" s="63"/>
    </row>
    <row r="18" spans="1:13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</row>
    <row r="19" spans="1:13">
      <c r="A19" s="63" t="s">
        <v>31</v>
      </c>
      <c r="B19" s="63" t="s">
        <v>72</v>
      </c>
      <c r="C19" s="98">
        <v>0.3</v>
      </c>
      <c r="D19" s="63" t="s">
        <v>73</v>
      </c>
      <c r="E19" s="63" t="s">
        <v>74</v>
      </c>
      <c r="F19" s="63"/>
      <c r="G19" s="63"/>
      <c r="H19" s="63" t="s">
        <v>75</v>
      </c>
      <c r="I19" s="98">
        <v>0.6</v>
      </c>
      <c r="J19" s="63" t="s">
        <v>221</v>
      </c>
      <c r="K19" s="63"/>
      <c r="L19" s="63"/>
      <c r="M19" s="98">
        <v>0.4</v>
      </c>
    </row>
    <row r="20" spans="1:13">
      <c r="A20" s="63"/>
      <c r="B20" s="63" t="s">
        <v>76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</row>
    <row r="21" spans="1:13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</row>
    <row r="22" spans="1:13">
      <c r="A22" s="99" t="s">
        <v>35</v>
      </c>
      <c r="B22" s="63" t="s">
        <v>69</v>
      </c>
      <c r="C22" s="98">
        <v>0.1</v>
      </c>
      <c r="D22" s="63" t="s">
        <v>77</v>
      </c>
      <c r="E22" s="63"/>
      <c r="F22" s="63"/>
      <c r="G22" s="63"/>
      <c r="H22" s="63"/>
      <c r="I22" s="98">
        <v>0.6</v>
      </c>
      <c r="J22" s="63" t="s">
        <v>222</v>
      </c>
      <c r="K22" s="63"/>
      <c r="L22" s="63"/>
      <c r="M22" s="98">
        <v>0.4</v>
      </c>
    </row>
    <row r="23" spans="1:13">
      <c r="A23" s="63"/>
      <c r="B23" s="63" t="s">
        <v>76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</row>
    <row r="24" spans="1:13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spans="1:13">
      <c r="A25" s="63" t="s">
        <v>39</v>
      </c>
      <c r="B25" s="63" t="s">
        <v>78</v>
      </c>
      <c r="C25" s="63"/>
      <c r="D25" s="63"/>
      <c r="E25" s="63"/>
      <c r="F25" s="97">
        <v>500</v>
      </c>
      <c r="G25" s="63"/>
      <c r="H25" s="63"/>
      <c r="I25" s="63"/>
      <c r="J25" s="63"/>
      <c r="K25" s="63"/>
      <c r="L25" s="63"/>
      <c r="M25" s="63"/>
    </row>
    <row r="26" spans="1:13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spans="1:13">
      <c r="A27" s="63" t="s">
        <v>44</v>
      </c>
      <c r="B27" s="63" t="s">
        <v>79</v>
      </c>
      <c r="C27" s="63"/>
      <c r="D27" s="63"/>
      <c r="E27" s="63"/>
      <c r="F27" s="97">
        <v>100</v>
      </c>
      <c r="G27" s="63" t="s">
        <v>43</v>
      </c>
      <c r="H27" s="63"/>
      <c r="I27" s="98">
        <v>0.5</v>
      </c>
      <c r="J27" s="63" t="s">
        <v>221</v>
      </c>
      <c r="K27" s="63"/>
      <c r="L27" s="63"/>
      <c r="M27" s="98">
        <v>0.5</v>
      </c>
    </row>
    <row r="28" spans="1:13">
      <c r="A28" s="63"/>
      <c r="B28" s="63" t="s">
        <v>53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1:13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</row>
    <row r="30" spans="1:13">
      <c r="A30" s="63" t="s">
        <v>80</v>
      </c>
      <c r="B30" s="63" t="s">
        <v>223</v>
      </c>
      <c r="C30" s="63"/>
      <c r="D30" s="63"/>
      <c r="E30" s="97">
        <v>3000</v>
      </c>
      <c r="F30" s="63" t="s">
        <v>19</v>
      </c>
      <c r="G30" s="98">
        <v>0.11</v>
      </c>
      <c r="H30" s="63"/>
      <c r="I30" s="63"/>
      <c r="J30" s="63"/>
      <c r="K30" s="63"/>
      <c r="L30" s="63"/>
      <c r="M30" s="63"/>
    </row>
    <row r="31" spans="1:13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</row>
    <row r="32" spans="1:13">
      <c r="A32" s="63" t="s">
        <v>81</v>
      </c>
      <c r="B32" s="63" t="s">
        <v>82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</sheetData>
  <mergeCells count="1">
    <mergeCell ref="E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7"/>
  <sheetViews>
    <sheetView topLeftCell="A28" workbookViewId="0">
      <selection activeCell="I3" sqref="I3"/>
    </sheetView>
  </sheetViews>
  <sheetFormatPr baseColWidth="10" defaultRowHeight="16.5"/>
  <cols>
    <col min="1" max="1" width="11" style="9"/>
    <col min="4" max="4" width="11" style="11"/>
    <col min="5" max="5" width="11" style="9"/>
    <col min="9" max="9" width="11" style="9"/>
    <col min="13" max="13" width="11" style="9"/>
  </cols>
  <sheetData>
    <row r="1" spans="1:15" ht="18">
      <c r="F1" s="125"/>
      <c r="G1" s="149" t="s">
        <v>99</v>
      </c>
      <c r="H1" s="149"/>
      <c r="I1" s="149"/>
      <c r="J1" s="149"/>
      <c r="K1" s="149"/>
      <c r="L1" s="23"/>
    </row>
    <row r="3" spans="1:15" ht="17.25">
      <c r="B3" s="110" t="s">
        <v>159</v>
      </c>
      <c r="C3" s="110"/>
      <c r="D3" s="12"/>
      <c r="F3" s="110" t="s">
        <v>4</v>
      </c>
      <c r="G3" s="110"/>
      <c r="H3" s="10"/>
      <c r="J3" s="111" t="s">
        <v>5</v>
      </c>
      <c r="K3" s="111"/>
      <c r="L3" s="10"/>
      <c r="N3" s="112" t="s">
        <v>160</v>
      </c>
      <c r="O3" s="112"/>
    </row>
    <row r="4" spans="1:15">
      <c r="A4" s="122" t="s">
        <v>177</v>
      </c>
      <c r="B4" s="113">
        <f>PROBLEMAS!C6</f>
        <v>5000</v>
      </c>
      <c r="C4" s="114">
        <f>J6+J14</f>
        <v>222</v>
      </c>
      <c r="D4" s="121" t="s">
        <v>181</v>
      </c>
      <c r="E4" s="122" t="s">
        <v>177</v>
      </c>
      <c r="F4" s="113">
        <f>PROBLEMAS!C7</f>
        <v>100000</v>
      </c>
      <c r="G4" s="135">
        <f>(J5-K4)*PROBLEMAS!D12+'ESQUEMA DE MAYOR'!J13</f>
        <v>3230.1</v>
      </c>
      <c r="H4" s="123" t="s">
        <v>179</v>
      </c>
      <c r="I4" s="122" t="s">
        <v>177</v>
      </c>
      <c r="J4" s="113">
        <f>PROBLEMAS!C8*PROBLEMAS!F8</f>
        <v>2000</v>
      </c>
      <c r="K4" s="114">
        <f>J5*PROBLEMAS!B12</f>
        <v>150</v>
      </c>
      <c r="L4" s="56" t="s">
        <v>179</v>
      </c>
      <c r="M4" s="122" t="s">
        <v>177</v>
      </c>
      <c r="N4" s="113">
        <f>PROBLEMAS!D9</f>
        <v>20000</v>
      </c>
      <c r="O4" s="15"/>
    </row>
    <row r="5" spans="1:15">
      <c r="B5" s="115"/>
      <c r="C5" s="116">
        <f>PROBLEMAS!E25</f>
        <v>550</v>
      </c>
      <c r="D5" s="121" t="s">
        <v>189</v>
      </c>
      <c r="E5" s="122" t="s">
        <v>183</v>
      </c>
      <c r="F5" s="119">
        <f>(C23-B23)*PROBLEMAS!E17+'ESQUEMA DE MAYOR'!G23</f>
        <v>5168.16</v>
      </c>
      <c r="G5" s="120">
        <f>B32+J15</f>
        <v>13320</v>
      </c>
      <c r="H5" s="54" t="s">
        <v>186</v>
      </c>
      <c r="I5" s="122" t="s">
        <v>178</v>
      </c>
      <c r="J5" s="119">
        <f>PROBLEMAS!C11*PROBLEMAS!E11</f>
        <v>5000</v>
      </c>
      <c r="K5" s="114">
        <f>'TARGETA DE ALMACEN'!J13</f>
        <v>3525</v>
      </c>
      <c r="L5" s="54" t="s">
        <v>182</v>
      </c>
      <c r="N5" s="6"/>
    </row>
    <row r="6" spans="1:15">
      <c r="B6" s="117">
        <f>SUM(B4:B5)</f>
        <v>5000</v>
      </c>
      <c r="C6" s="118">
        <f>SUM(C4:C5)</f>
        <v>772</v>
      </c>
      <c r="E6" s="122" t="s">
        <v>197</v>
      </c>
      <c r="F6" s="133">
        <f>(C24*PROBLEMAS!K30)+'ESQUEMA DE MAYOR'!G24</f>
        <v>9435</v>
      </c>
      <c r="G6" s="120">
        <f>J17+B42+N32</f>
        <v>2220</v>
      </c>
      <c r="H6" s="54" t="s">
        <v>194</v>
      </c>
      <c r="I6" s="122" t="s">
        <v>180</v>
      </c>
      <c r="J6" s="119">
        <f>PROBLEMAS!E14</f>
        <v>200</v>
      </c>
      <c r="K6" s="135">
        <f>'TARGETA DE ALMACEN'!J15</f>
        <v>6020</v>
      </c>
      <c r="L6" s="54" t="s">
        <v>195</v>
      </c>
      <c r="N6" s="3"/>
    </row>
    <row r="7" spans="1:15">
      <c r="B7" s="119">
        <f>B6-C6</f>
        <v>4228</v>
      </c>
      <c r="C7" s="120"/>
      <c r="F7" s="137"/>
      <c r="G7" s="116">
        <f>PROBLEMAS!E32</f>
        <v>3000</v>
      </c>
      <c r="H7" s="54" t="s">
        <v>199</v>
      </c>
      <c r="I7" s="122" t="s">
        <v>187</v>
      </c>
      <c r="J7" s="115">
        <f>PROBLEMAS!C22*PROBLEMAS!E22</f>
        <v>7000</v>
      </c>
      <c r="K7" s="136"/>
      <c r="N7" s="3"/>
    </row>
    <row r="8" spans="1:15">
      <c r="B8" s="3"/>
      <c r="F8" s="117">
        <f>SUM(F4:F6)</f>
        <v>114603.16</v>
      </c>
      <c r="G8" s="138">
        <f>ROUND((SUM(G4:G7)),0)</f>
        <v>21770</v>
      </c>
      <c r="J8" s="117">
        <f>SUM(J4:J7)</f>
        <v>14200</v>
      </c>
      <c r="K8" s="118">
        <f>SUM(K4:K6)</f>
        <v>9695</v>
      </c>
      <c r="N8" s="3"/>
    </row>
    <row r="9" spans="1:15">
      <c r="B9" s="3"/>
      <c r="F9" s="143">
        <f>ROUND(F8-G8,0)</f>
        <v>92833</v>
      </c>
      <c r="G9" s="120"/>
      <c r="J9" s="142">
        <f>J8-K8</f>
        <v>4505</v>
      </c>
      <c r="K9" s="120"/>
      <c r="N9" s="3"/>
    </row>
    <row r="12" spans="1:15">
      <c r="B12" s="111" t="s">
        <v>122</v>
      </c>
      <c r="C12" s="111"/>
      <c r="D12" s="12"/>
      <c r="F12" s="111" t="s">
        <v>161</v>
      </c>
      <c r="G12" s="111"/>
      <c r="H12" s="10"/>
      <c r="J12" s="111" t="s">
        <v>162</v>
      </c>
      <c r="K12" s="111"/>
      <c r="L12" s="10"/>
      <c r="N12" s="111" t="s">
        <v>163</v>
      </c>
      <c r="O12" s="111"/>
    </row>
    <row r="13" spans="1:15">
      <c r="B13" s="2"/>
      <c r="C13" s="140">
        <f>'ESQUEMA DE MAYOR'!B4+'ESQUEMA DE MAYOR'!F4+'ESQUEMA DE MAYOR'!J4+'ESQUEMA DE MAYOR'!N4</f>
        <v>127000</v>
      </c>
      <c r="D13" s="121" t="s">
        <v>176</v>
      </c>
      <c r="F13" s="2"/>
      <c r="G13" s="120">
        <f>(J5-K4)*PROBLEMAS!G12+'ESQUEMA DE MAYOR'!N13</f>
        <v>2153.4</v>
      </c>
      <c r="H13" s="54" t="s">
        <v>179</v>
      </c>
      <c r="I13" s="122" t="s">
        <v>178</v>
      </c>
      <c r="J13" s="139">
        <f>(J5-K4)*PROBLEMAS!D12*PROBLEMAS!H11</f>
        <v>320.10000000000002</v>
      </c>
      <c r="M13" s="122" t="s">
        <v>178</v>
      </c>
      <c r="N13" s="132">
        <f>(J5-K4)*PROBLEMAS!G12*PROBLEMAS!H11</f>
        <v>213.4</v>
      </c>
    </row>
    <row r="14" spans="1:15">
      <c r="B14" s="3"/>
      <c r="C14" s="14"/>
      <c r="F14" s="4"/>
      <c r="G14" s="116">
        <f>J7+N14</f>
        <v>7770</v>
      </c>
      <c r="H14" s="54" t="s">
        <v>188</v>
      </c>
      <c r="I14" s="122" t="s">
        <v>180</v>
      </c>
      <c r="J14" s="133">
        <f>(J6*PROBLEMAS!G14)</f>
        <v>22</v>
      </c>
      <c r="M14" s="122" t="s">
        <v>187</v>
      </c>
      <c r="N14" s="133">
        <f>(J7*PROBLEMAS!H22)</f>
        <v>770</v>
      </c>
    </row>
    <row r="15" spans="1:15">
      <c r="B15" s="3"/>
      <c r="F15" s="3"/>
      <c r="G15" s="144">
        <f>ROUND((SUM(G13:G14)),0)</f>
        <v>9923</v>
      </c>
      <c r="I15" s="122" t="s">
        <v>185</v>
      </c>
      <c r="J15" s="133">
        <f>(B32*PROBLEMAS!K19)</f>
        <v>1320</v>
      </c>
      <c r="M15" s="122" t="s">
        <v>190</v>
      </c>
      <c r="N15" s="134">
        <f>ROUND((F32/1.11)*PROBLEMAS!K24,0)</f>
        <v>495</v>
      </c>
      <c r="O15" s="1"/>
    </row>
    <row r="16" spans="1:15">
      <c r="B16" s="3"/>
      <c r="F16" s="3"/>
      <c r="I16" s="122" t="s">
        <v>190</v>
      </c>
      <c r="J16" s="139">
        <f>ROUND(C5-N15,0)</f>
        <v>55</v>
      </c>
      <c r="N16" s="141">
        <f>ROUND((SUM(N13:N15)),0)</f>
        <v>1478</v>
      </c>
    </row>
    <row r="17" spans="1:15">
      <c r="B17" s="3"/>
      <c r="F17" s="3"/>
      <c r="I17" s="122" t="s">
        <v>193</v>
      </c>
      <c r="J17" s="137">
        <f>(N32+B42)*PROBLEMAS!G27</f>
        <v>220</v>
      </c>
      <c r="K17" s="1"/>
      <c r="N17" s="3"/>
    </row>
    <row r="18" spans="1:15">
      <c r="B18" s="3"/>
      <c r="F18" s="3"/>
      <c r="J18" s="143">
        <f>ROUND((SUM(J13:J17)),0)</f>
        <v>1937</v>
      </c>
      <c r="N18" s="3"/>
    </row>
    <row r="22" spans="1:15">
      <c r="B22" s="146" t="s">
        <v>164</v>
      </c>
      <c r="C22" s="146"/>
      <c r="D22" s="12"/>
      <c r="F22" s="145" t="s">
        <v>165</v>
      </c>
      <c r="G22" s="145"/>
      <c r="H22" s="10"/>
      <c r="J22" s="145" t="s">
        <v>166</v>
      </c>
      <c r="K22" s="145"/>
      <c r="L22" s="10"/>
      <c r="N22" s="145" t="s">
        <v>167</v>
      </c>
      <c r="O22" s="145"/>
    </row>
    <row r="23" spans="1:15">
      <c r="A23" s="122" t="s">
        <v>183</v>
      </c>
      <c r="B23" s="133">
        <f>(C23*PROBLEMAS!B17)</f>
        <v>360</v>
      </c>
      <c r="C23" s="114">
        <f>PROBLEMAS!C16*PROBLEMAS!E16</f>
        <v>12000</v>
      </c>
      <c r="D23" s="121" t="s">
        <v>182</v>
      </c>
      <c r="F23" s="2"/>
      <c r="G23" s="125">
        <f>(C23-B23)*PROBLEMAS!E17*PROBLEMAS!H16</f>
        <v>512.16</v>
      </c>
      <c r="H23" s="54" t="s">
        <v>182</v>
      </c>
      <c r="J23" s="3"/>
      <c r="K23" s="125">
        <f>(C23-B23)*PROBLEMAS!G17*PROBLEMAS!H16</f>
        <v>768.24</v>
      </c>
      <c r="L23" s="54" t="s">
        <v>182</v>
      </c>
      <c r="M23" s="122" t="s">
        <v>183</v>
      </c>
      <c r="N23" s="124">
        <f>(C23-B23)*PROBLEMAS!G17+'ESQUEMA DE MAYOR'!K23</f>
        <v>7752.24</v>
      </c>
      <c r="O23" t="s">
        <v>198</v>
      </c>
    </row>
    <row r="24" spans="1:15">
      <c r="B24" s="137"/>
      <c r="C24" s="136">
        <f>(PROBLEMAS!C30*PROBLEMAS!E30)</f>
        <v>17000</v>
      </c>
      <c r="D24" s="121" t="s">
        <v>195</v>
      </c>
      <c r="F24" s="4"/>
      <c r="G24" s="130">
        <f>(C24*PROBLEMAS!H30)*PROBLEMAS!K30</f>
        <v>935</v>
      </c>
      <c r="H24" s="54" t="s">
        <v>195</v>
      </c>
      <c r="J24" s="4"/>
      <c r="K24" s="130">
        <f>(C24*PROBLEMAS!H30)*PROBLEMAS!C31</f>
        <v>935</v>
      </c>
      <c r="L24" s="54" t="s">
        <v>195</v>
      </c>
      <c r="M24" s="122" t="s">
        <v>197</v>
      </c>
      <c r="N24" s="127">
        <f>(C24*PROBLEMAS!C31)+'ESQUEMA DE MAYOR'!K24</f>
        <v>9435</v>
      </c>
      <c r="O24" s="1"/>
    </row>
    <row r="25" spans="1:15">
      <c r="B25" s="147">
        <f>SUM(B23)</f>
        <v>360</v>
      </c>
      <c r="C25" s="118">
        <f>SUM(C23:C24)</f>
        <v>29000</v>
      </c>
      <c r="D25" s="121"/>
      <c r="F25" s="3"/>
      <c r="G25" s="144">
        <f>ROUND((SUM(G23:G24)),0)</f>
        <v>1447</v>
      </c>
      <c r="J25" s="3"/>
      <c r="K25" s="144">
        <f>ROUND((SUM(K23:K24)),0)</f>
        <v>1703</v>
      </c>
      <c r="N25" s="142">
        <f>SUM(N23:N24)</f>
        <v>17187.239999999998</v>
      </c>
    </row>
    <row r="26" spans="1:15">
      <c r="B26" s="86"/>
      <c r="C26" s="148">
        <f>C25-B25</f>
        <v>28640</v>
      </c>
      <c r="F26" s="3"/>
      <c r="J26" s="3"/>
      <c r="N26" s="3"/>
    </row>
    <row r="27" spans="1:15">
      <c r="B27" s="3"/>
      <c r="F27" s="3"/>
      <c r="J27" s="3"/>
      <c r="N27" s="3"/>
    </row>
    <row r="31" spans="1:15">
      <c r="B31" s="145" t="s">
        <v>168</v>
      </c>
      <c r="C31" s="145"/>
      <c r="D31" s="12"/>
      <c r="F31" s="145" t="s">
        <v>172</v>
      </c>
      <c r="G31" s="145"/>
      <c r="H31" s="10"/>
      <c r="J31" s="145" t="s">
        <v>169</v>
      </c>
      <c r="K31" s="145"/>
      <c r="L31" s="10"/>
      <c r="N31" s="145" t="s">
        <v>170</v>
      </c>
      <c r="O31" s="145"/>
    </row>
    <row r="32" spans="1:15">
      <c r="A32" s="122" t="s">
        <v>185</v>
      </c>
      <c r="B32" s="131">
        <f>(PROBLEMAS!D19*PROBLEMAS!H19)</f>
        <v>12000</v>
      </c>
      <c r="E32" s="122" t="s">
        <v>190</v>
      </c>
      <c r="F32" s="124">
        <f>PROBLEMAS!H24</f>
        <v>5000</v>
      </c>
      <c r="J32" s="3"/>
      <c r="K32" s="128">
        <f>PROBLEMAS!H24</f>
        <v>5000</v>
      </c>
      <c r="L32" s="54" t="s">
        <v>189</v>
      </c>
      <c r="M32" s="122" t="s">
        <v>193</v>
      </c>
      <c r="N32" s="126">
        <f>(PROBLEMAS!E27*PROBLEMAS!C28)</f>
        <v>1000</v>
      </c>
    </row>
    <row r="33" spans="1:15">
      <c r="B33" s="3"/>
      <c r="F33" s="3"/>
      <c r="J33" s="3"/>
      <c r="M33" s="122" t="s">
        <v>200</v>
      </c>
      <c r="N33" s="129">
        <f>G7*PROBLEMAS!J32</f>
        <v>1500</v>
      </c>
      <c r="O33" s="1"/>
    </row>
    <row r="34" spans="1:15">
      <c r="B34" s="3"/>
      <c r="F34" s="3"/>
      <c r="J34" s="3"/>
      <c r="M34" s="122"/>
      <c r="N34" s="141">
        <f>SUM(N32:N33)</f>
        <v>2500</v>
      </c>
    </row>
    <row r="35" spans="1:15">
      <c r="B35" s="3"/>
      <c r="F35" s="3"/>
      <c r="J35" s="3"/>
      <c r="N35" s="3"/>
    </row>
    <row r="36" spans="1:15">
      <c r="B36" s="3"/>
      <c r="F36" s="3"/>
      <c r="J36" s="3"/>
      <c r="N36" s="3"/>
    </row>
    <row r="37" spans="1:15">
      <c r="B37" s="3"/>
      <c r="F37" s="3"/>
      <c r="J37" s="3"/>
      <c r="N37" s="3"/>
    </row>
    <row r="41" spans="1:15">
      <c r="B41" s="145" t="s">
        <v>171</v>
      </c>
      <c r="C41" s="145"/>
      <c r="D41" s="12"/>
      <c r="F41" s="145" t="s">
        <v>173</v>
      </c>
      <c r="G41" s="145"/>
      <c r="H41" s="10"/>
    </row>
    <row r="42" spans="1:15">
      <c r="A42" s="122" t="s">
        <v>193</v>
      </c>
      <c r="B42" s="132">
        <f>(PROBLEMAS!E27*PROBLEMAS!G28)</f>
        <v>1000</v>
      </c>
      <c r="E42" s="9" t="s">
        <v>183</v>
      </c>
      <c r="F42" s="119">
        <f>'TARGETA DE ALMACEN'!J13</f>
        <v>3525</v>
      </c>
    </row>
    <row r="43" spans="1:15">
      <c r="A43" s="122" t="s">
        <v>200</v>
      </c>
      <c r="B43" s="115">
        <f>G7*PROBLEMAS!M32</f>
        <v>1500</v>
      </c>
      <c r="C43" s="1"/>
      <c r="E43" s="9" t="s">
        <v>197</v>
      </c>
      <c r="F43" s="134">
        <f>'TARGETA DE ALMACEN'!J15</f>
        <v>6020</v>
      </c>
      <c r="G43" s="1"/>
    </row>
    <row r="44" spans="1:15">
      <c r="B44" s="141">
        <f>SUM(B42:B43)</f>
        <v>2500</v>
      </c>
      <c r="F44" s="142">
        <f>SUM(F42:F43)</f>
        <v>9545</v>
      </c>
    </row>
    <row r="45" spans="1:15">
      <c r="B45" s="3"/>
      <c r="F45" s="3"/>
    </row>
    <row r="46" spans="1:15">
      <c r="B46" s="3"/>
      <c r="F46" s="3"/>
    </row>
    <row r="47" spans="1:15">
      <c r="B47" s="3"/>
      <c r="F47" s="3"/>
    </row>
  </sheetData>
  <mergeCells count="19">
    <mergeCell ref="B22:C22"/>
    <mergeCell ref="F22:G22"/>
    <mergeCell ref="J22:K22"/>
    <mergeCell ref="N22:O22"/>
    <mergeCell ref="G1:K1"/>
    <mergeCell ref="B3:C3"/>
    <mergeCell ref="F3:G3"/>
    <mergeCell ref="J3:K3"/>
    <mergeCell ref="N3:O3"/>
    <mergeCell ref="B12:C12"/>
    <mergeCell ref="F12:G12"/>
    <mergeCell ref="J12:K12"/>
    <mergeCell ref="N12:O12"/>
    <mergeCell ref="B31:C31"/>
    <mergeCell ref="F31:G31"/>
    <mergeCell ref="J31:K31"/>
    <mergeCell ref="N31:O31"/>
    <mergeCell ref="B41:C41"/>
    <mergeCell ref="F41:G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J26"/>
  <sheetViews>
    <sheetView workbookViewId="0">
      <selection activeCell="K10" sqref="K10"/>
    </sheetView>
  </sheetViews>
  <sheetFormatPr baseColWidth="10" defaultRowHeight="16.5"/>
  <cols>
    <col min="1" max="1" width="11" style="26"/>
    <col min="2" max="2" width="16.625" style="26" customWidth="1"/>
    <col min="3" max="6" width="11" style="26"/>
    <col min="7" max="7" width="11.5" style="26" customWidth="1"/>
    <col min="8" max="16384" width="11" style="26"/>
  </cols>
  <sheetData>
    <row r="2" spans="2:10">
      <c r="F2" s="152" t="s">
        <v>90</v>
      </c>
      <c r="G2" s="152"/>
      <c r="H2" s="152"/>
      <c r="I2" s="152"/>
      <c r="J2" s="144"/>
    </row>
    <row r="3" spans="2:10">
      <c r="F3" s="153" t="s">
        <v>91</v>
      </c>
      <c r="G3" s="153"/>
      <c r="H3" s="153"/>
      <c r="I3" s="153"/>
      <c r="J3" s="144"/>
    </row>
    <row r="4" spans="2:10">
      <c r="F4" s="152" t="s">
        <v>132</v>
      </c>
      <c r="G4" s="152"/>
      <c r="H4" s="152"/>
      <c r="I4" s="152"/>
      <c r="J4" s="152"/>
    </row>
    <row r="6" spans="2:10">
      <c r="B6" s="27"/>
      <c r="C6" s="48"/>
      <c r="D6" s="49"/>
      <c r="E6" s="50"/>
      <c r="F6" s="165" t="s">
        <v>94</v>
      </c>
      <c r="G6" s="165"/>
      <c r="H6" s="161" t="s">
        <v>97</v>
      </c>
      <c r="I6" s="161"/>
    </row>
    <row r="7" spans="2:10" ht="17.25">
      <c r="B7" s="157" t="s">
        <v>92</v>
      </c>
      <c r="C7" s="169" t="s">
        <v>93</v>
      </c>
      <c r="D7" s="169"/>
      <c r="E7" s="169"/>
      <c r="F7" s="178" t="s">
        <v>95</v>
      </c>
      <c r="G7" s="178" t="s">
        <v>96</v>
      </c>
      <c r="H7" s="156" t="s">
        <v>95</v>
      </c>
      <c r="I7" s="156" t="s">
        <v>96</v>
      </c>
    </row>
    <row r="8" spans="2:10" ht="17.25">
      <c r="B8" s="157">
        <v>1</v>
      </c>
      <c r="C8" s="169" t="s">
        <v>159</v>
      </c>
      <c r="D8" s="169"/>
      <c r="E8" s="169"/>
      <c r="F8" s="179">
        <f>'ESQUEMA DE MAYOR'!B6</f>
        <v>5000</v>
      </c>
      <c r="G8" s="179">
        <f>'ESQUEMA DE MAYOR'!C6</f>
        <v>772</v>
      </c>
      <c r="H8" s="176">
        <f>'ESQUEMA DE MAYOR'!B7</f>
        <v>4228</v>
      </c>
      <c r="I8" s="156"/>
    </row>
    <row r="9" spans="2:10" ht="17.25">
      <c r="B9" s="157">
        <v>2</v>
      </c>
      <c r="C9" s="169" t="s">
        <v>4</v>
      </c>
      <c r="D9" s="169"/>
      <c r="E9" s="169"/>
      <c r="F9" s="179">
        <f>'ESQUEMA DE MAYOR'!F8</f>
        <v>114603.16</v>
      </c>
      <c r="G9" s="180">
        <f>'ESQUEMA DE MAYOR'!G8</f>
        <v>21770</v>
      </c>
      <c r="H9" s="177">
        <f>'ESQUEMA DE MAYOR'!F9</f>
        <v>92833</v>
      </c>
      <c r="I9" s="156"/>
    </row>
    <row r="10" spans="2:10" ht="17.25">
      <c r="B10" s="157">
        <v>3</v>
      </c>
      <c r="C10" s="169" t="s">
        <v>5</v>
      </c>
      <c r="D10" s="169"/>
      <c r="E10" s="169"/>
      <c r="F10" s="179">
        <f>'ESQUEMA DE MAYOR'!J8</f>
        <v>14200</v>
      </c>
      <c r="G10" s="179">
        <f>'ESQUEMA DE MAYOR'!K8</f>
        <v>9695</v>
      </c>
      <c r="H10" s="176">
        <f>'ESQUEMA DE MAYOR'!J9</f>
        <v>4505</v>
      </c>
      <c r="I10" s="156"/>
    </row>
    <row r="11" spans="2:10" ht="17.25">
      <c r="B11" s="157">
        <v>4</v>
      </c>
      <c r="C11" s="169" t="s">
        <v>9</v>
      </c>
      <c r="D11" s="169"/>
      <c r="E11" s="169"/>
      <c r="F11" s="179">
        <f>'ESQUEMA DE MAYOR'!N4</f>
        <v>20000</v>
      </c>
      <c r="G11" s="178"/>
      <c r="H11" s="176">
        <f t="shared" ref="H11:H16" si="0">F11</f>
        <v>20000</v>
      </c>
      <c r="I11" s="156"/>
    </row>
    <row r="12" spans="2:10" ht="17.25">
      <c r="B12" s="157">
        <v>5</v>
      </c>
      <c r="C12" s="169" t="s">
        <v>162</v>
      </c>
      <c r="D12" s="169"/>
      <c r="E12" s="169"/>
      <c r="F12" s="180">
        <f>'ESQUEMA DE MAYOR'!J18</f>
        <v>1937</v>
      </c>
      <c r="G12" s="178"/>
      <c r="H12" s="177">
        <f t="shared" si="0"/>
        <v>1937</v>
      </c>
      <c r="I12" s="156"/>
    </row>
    <row r="13" spans="2:10" ht="17.25">
      <c r="B13" s="157">
        <v>6</v>
      </c>
      <c r="C13" s="169" t="s">
        <v>201</v>
      </c>
      <c r="D13" s="169"/>
      <c r="E13" s="169"/>
      <c r="F13" s="178">
        <f>'ESQUEMA DE MAYOR'!N16</f>
        <v>1478</v>
      </c>
      <c r="G13" s="178"/>
      <c r="H13" s="156">
        <f t="shared" si="0"/>
        <v>1478</v>
      </c>
      <c r="I13" s="156"/>
    </row>
    <row r="14" spans="2:10" ht="17.25">
      <c r="B14" s="157">
        <v>7</v>
      </c>
      <c r="C14" s="169" t="s">
        <v>167</v>
      </c>
      <c r="D14" s="169"/>
      <c r="E14" s="169"/>
      <c r="F14" s="179">
        <f>'ESQUEMA DE MAYOR'!N25</f>
        <v>17187.239999999998</v>
      </c>
      <c r="G14" s="178"/>
      <c r="H14" s="176">
        <f t="shared" si="0"/>
        <v>17187.239999999998</v>
      </c>
      <c r="I14" s="156"/>
    </row>
    <row r="15" spans="2:10" ht="17.25">
      <c r="B15" s="157">
        <v>8</v>
      </c>
      <c r="C15" s="169" t="s">
        <v>202</v>
      </c>
      <c r="D15" s="169"/>
      <c r="E15" s="169"/>
      <c r="F15" s="178">
        <f>'ESQUEMA DE MAYOR'!B32</f>
        <v>12000</v>
      </c>
      <c r="G15" s="178"/>
      <c r="H15" s="156">
        <f t="shared" si="0"/>
        <v>12000</v>
      </c>
      <c r="I15" s="156"/>
    </row>
    <row r="16" spans="2:10" ht="17.25">
      <c r="B16" s="157">
        <v>9</v>
      </c>
      <c r="C16" s="169" t="s">
        <v>207</v>
      </c>
      <c r="D16" s="169"/>
      <c r="E16" s="169"/>
      <c r="F16" s="179">
        <f>'ESQUEMA DE MAYOR'!F32</f>
        <v>5000</v>
      </c>
      <c r="G16" s="178"/>
      <c r="H16" s="176">
        <f t="shared" si="0"/>
        <v>5000</v>
      </c>
      <c r="I16" s="156"/>
    </row>
    <row r="17" spans="2:9" ht="17.25">
      <c r="B17" s="157">
        <v>10</v>
      </c>
      <c r="C17" s="169" t="s">
        <v>161</v>
      </c>
      <c r="D17" s="169"/>
      <c r="E17" s="169"/>
      <c r="F17" s="178"/>
      <c r="G17" s="178">
        <f>'ESQUEMA DE MAYOR'!G15</f>
        <v>9923</v>
      </c>
      <c r="H17" s="156"/>
      <c r="I17" s="156">
        <f>G17</f>
        <v>9923</v>
      </c>
    </row>
    <row r="18" spans="2:9" ht="17.25">
      <c r="B18" s="157">
        <v>11</v>
      </c>
      <c r="C18" s="169" t="s">
        <v>208</v>
      </c>
      <c r="D18" s="169"/>
      <c r="E18" s="169"/>
      <c r="F18" s="178"/>
      <c r="G18" s="178">
        <f>'ESQUEMA DE MAYOR'!K25</f>
        <v>1703</v>
      </c>
      <c r="H18" s="156"/>
      <c r="I18" s="156">
        <f>G18</f>
        <v>1703</v>
      </c>
    </row>
    <row r="19" spans="2:9" ht="17.25">
      <c r="B19" s="157">
        <v>12</v>
      </c>
      <c r="C19" s="169" t="s">
        <v>203</v>
      </c>
      <c r="D19" s="169"/>
      <c r="E19" s="169"/>
      <c r="F19" s="178"/>
      <c r="G19" s="178">
        <f>'ESQUEMA DE MAYOR'!G25</f>
        <v>1447</v>
      </c>
      <c r="H19" s="156"/>
      <c r="I19" s="156">
        <f>G19</f>
        <v>1447</v>
      </c>
    </row>
    <row r="20" spans="2:9" ht="17.25">
      <c r="B20" s="157">
        <v>13</v>
      </c>
      <c r="C20" s="169" t="s">
        <v>204</v>
      </c>
      <c r="D20" s="169"/>
      <c r="E20" s="169"/>
      <c r="F20" s="178"/>
      <c r="G20" s="179">
        <f>'ESQUEMA DE MAYOR'!K32</f>
        <v>5000</v>
      </c>
      <c r="H20" s="156"/>
      <c r="I20" s="176">
        <f>G20</f>
        <v>5000</v>
      </c>
    </row>
    <row r="21" spans="2:9" ht="17.25">
      <c r="B21" s="157">
        <v>14</v>
      </c>
      <c r="C21" s="169" t="s">
        <v>122</v>
      </c>
      <c r="D21" s="169"/>
      <c r="E21" s="169"/>
      <c r="F21" s="178"/>
      <c r="G21" s="179">
        <f>'ESQUEMA DE MAYOR'!C13</f>
        <v>127000</v>
      </c>
      <c r="H21" s="156"/>
      <c r="I21" s="176">
        <f>G21</f>
        <v>127000</v>
      </c>
    </row>
    <row r="22" spans="2:9" ht="17.25">
      <c r="B22" s="157">
        <v>15</v>
      </c>
      <c r="C22" s="169" t="s">
        <v>164</v>
      </c>
      <c r="D22" s="169"/>
      <c r="E22" s="169"/>
      <c r="F22" s="178">
        <f>'ESQUEMA DE MAYOR'!B25</f>
        <v>360</v>
      </c>
      <c r="G22" s="179">
        <f>'ESQUEMA DE MAYOR'!C25</f>
        <v>29000</v>
      </c>
      <c r="H22" s="156"/>
      <c r="I22" s="176">
        <f>'ESQUEMA DE MAYOR'!C26</f>
        <v>28640</v>
      </c>
    </row>
    <row r="23" spans="2:9" ht="17.25">
      <c r="B23" s="157">
        <v>16</v>
      </c>
      <c r="C23" s="169" t="s">
        <v>173</v>
      </c>
      <c r="D23" s="169"/>
      <c r="E23" s="169"/>
      <c r="F23" s="179">
        <f>'ESQUEMA DE MAYOR'!F44</f>
        <v>9545</v>
      </c>
      <c r="G23" s="178"/>
      <c r="H23" s="176">
        <f>F23</f>
        <v>9545</v>
      </c>
      <c r="I23" s="156"/>
    </row>
    <row r="24" spans="2:9" ht="17.25">
      <c r="B24" s="157">
        <v>17</v>
      </c>
      <c r="C24" s="170" t="s">
        <v>206</v>
      </c>
      <c r="D24" s="171"/>
      <c r="E24" s="172"/>
      <c r="F24" s="178">
        <f>'ESQUEMA DE MAYOR'!B44</f>
        <v>2500</v>
      </c>
      <c r="G24" s="178"/>
      <c r="H24" s="156">
        <f>F24</f>
        <v>2500</v>
      </c>
      <c r="I24" s="156"/>
    </row>
    <row r="25" spans="2:9" ht="17.25">
      <c r="B25" s="157">
        <v>18</v>
      </c>
      <c r="C25" s="170" t="s">
        <v>205</v>
      </c>
      <c r="D25" s="171"/>
      <c r="E25" s="172"/>
      <c r="F25" s="178">
        <f>'ESQUEMA DE MAYOR'!N34</f>
        <v>2500</v>
      </c>
      <c r="G25" s="178"/>
      <c r="H25" s="156">
        <f>F25</f>
        <v>2500</v>
      </c>
      <c r="I25" s="156"/>
    </row>
    <row r="26" spans="2:9" ht="17.25">
      <c r="B26" s="157"/>
      <c r="C26" s="166" t="s">
        <v>98</v>
      </c>
      <c r="D26" s="167"/>
      <c r="E26" s="168"/>
      <c r="F26" s="179">
        <f>SUM(F8:F25)</f>
        <v>206310.39999999999</v>
      </c>
      <c r="G26" s="179">
        <f>SUM(G8:G25)</f>
        <v>206310</v>
      </c>
      <c r="H26" s="176">
        <f>SUM(H8:H25)</f>
        <v>173713.24</v>
      </c>
      <c r="I26" s="156">
        <f>SUM(I8:I25)</f>
        <v>173713</v>
      </c>
    </row>
  </sheetData>
  <mergeCells count="26">
    <mergeCell ref="C25:E25"/>
    <mergeCell ref="C26:E26"/>
    <mergeCell ref="C8:E8"/>
    <mergeCell ref="C21:E21"/>
    <mergeCell ref="C22:E22"/>
    <mergeCell ref="C23:E23"/>
    <mergeCell ref="C24:E24"/>
    <mergeCell ref="C19:E19"/>
    <mergeCell ref="C20:E20"/>
    <mergeCell ref="C15:E15"/>
    <mergeCell ref="C16:E16"/>
    <mergeCell ref="C17:E17"/>
    <mergeCell ref="C18:E18"/>
    <mergeCell ref="C9:E9"/>
    <mergeCell ref="C10:E10"/>
    <mergeCell ref="C11:E11"/>
    <mergeCell ref="C12:E12"/>
    <mergeCell ref="C13:E13"/>
    <mergeCell ref="C14:E14"/>
    <mergeCell ref="F2:I2"/>
    <mergeCell ref="F3:I3"/>
    <mergeCell ref="C7:E7"/>
    <mergeCell ref="F6:G6"/>
    <mergeCell ref="H6:I6"/>
    <mergeCell ref="F4:J4"/>
    <mergeCell ref="C6:E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45"/>
  <sheetViews>
    <sheetView topLeftCell="A13" workbookViewId="0">
      <selection activeCell="W9" sqref="W9"/>
    </sheetView>
  </sheetViews>
  <sheetFormatPr baseColWidth="10" defaultRowHeight="16.5"/>
  <cols>
    <col min="1" max="1" width="15.5" style="26" customWidth="1"/>
    <col min="2" max="5" width="11" style="26"/>
    <col min="6" max="6" width="17.375" style="26" customWidth="1"/>
    <col min="7" max="10" width="11" style="26"/>
    <col min="11" max="11" width="7.875" style="26" customWidth="1"/>
    <col min="12" max="12" width="3.25" style="38" customWidth="1"/>
    <col min="13" max="13" width="11" style="39"/>
    <col min="14" max="14" width="11" style="40"/>
    <col min="15" max="15" width="2.75" style="38" customWidth="1"/>
    <col min="16" max="17" width="11" style="26"/>
    <col min="18" max="18" width="14.25" style="26" customWidth="1"/>
    <col min="19" max="19" width="15.625" style="26" customWidth="1"/>
    <col min="20" max="16384" width="11" style="26"/>
  </cols>
  <sheetData>
    <row r="1" spans="1:21">
      <c r="E1" s="120"/>
      <c r="F1" s="151" t="s">
        <v>90</v>
      </c>
      <c r="G1" s="151"/>
      <c r="H1" s="151"/>
      <c r="I1" s="151"/>
      <c r="J1" s="120"/>
      <c r="K1" s="120"/>
      <c r="L1" s="181"/>
      <c r="M1" s="182"/>
    </row>
    <row r="2" spans="1:21">
      <c r="E2" s="120"/>
      <c r="F2" s="149" t="s">
        <v>100</v>
      </c>
      <c r="G2" s="149"/>
      <c r="H2" s="149"/>
      <c r="I2" s="149"/>
      <c r="J2" s="120"/>
      <c r="K2" s="120"/>
      <c r="L2" s="181"/>
      <c r="M2" s="182"/>
    </row>
    <row r="3" spans="1:21">
      <c r="E3" s="151" t="s">
        <v>114</v>
      </c>
      <c r="F3" s="151"/>
      <c r="G3" s="151"/>
      <c r="H3" s="151"/>
      <c r="I3" s="151"/>
      <c r="J3" s="151"/>
      <c r="K3" s="151"/>
      <c r="L3" s="151"/>
      <c r="M3" s="151"/>
    </row>
    <row r="4" spans="1:21">
      <c r="E4" s="30"/>
      <c r="F4" s="30"/>
      <c r="G4" s="30"/>
      <c r="H4" s="30"/>
      <c r="I4" s="30"/>
      <c r="J4" s="30"/>
      <c r="K4" s="30"/>
      <c r="L4" s="30"/>
      <c r="M4" s="30"/>
    </row>
    <row r="5" spans="1:21" ht="17.25">
      <c r="A5" s="188" t="s">
        <v>100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90"/>
    </row>
    <row r="6" spans="1:21" ht="17.25">
      <c r="A6" s="191"/>
      <c r="B6" s="188"/>
      <c r="C6" s="189"/>
      <c r="D6" s="189"/>
      <c r="E6" s="190"/>
      <c r="F6" s="191"/>
      <c r="G6" s="192" t="s">
        <v>91</v>
      </c>
      <c r="H6" s="192"/>
      <c r="I6" s="192"/>
      <c r="J6" s="192"/>
      <c r="K6" s="191"/>
      <c r="L6" s="193"/>
      <c r="M6" s="194"/>
      <c r="N6" s="195"/>
      <c r="O6" s="193"/>
      <c r="P6" s="191"/>
      <c r="Q6" s="191"/>
      <c r="R6" s="191"/>
      <c r="S6" s="191"/>
      <c r="T6" s="191"/>
      <c r="U6" s="191"/>
    </row>
    <row r="7" spans="1:21" ht="17.25">
      <c r="A7" s="202" t="s">
        <v>102</v>
      </c>
      <c r="B7" s="183" t="s">
        <v>101</v>
      </c>
      <c r="C7" s="183"/>
      <c r="D7" s="183"/>
      <c r="E7" s="183"/>
      <c r="F7" s="202" t="s">
        <v>103</v>
      </c>
      <c r="G7" s="169" t="s">
        <v>94</v>
      </c>
      <c r="H7" s="169"/>
      <c r="I7" s="169" t="s">
        <v>97</v>
      </c>
      <c r="J7" s="169"/>
      <c r="K7" s="202" t="s">
        <v>106</v>
      </c>
      <c r="L7" s="31"/>
      <c r="M7" s="158" t="s">
        <v>54</v>
      </c>
      <c r="N7" s="158"/>
      <c r="O7" s="33"/>
      <c r="P7" s="212" t="s">
        <v>109</v>
      </c>
      <c r="Q7" s="212"/>
      <c r="R7" s="196" t="s">
        <v>110</v>
      </c>
      <c r="S7" s="196"/>
      <c r="T7" s="217" t="s">
        <v>111</v>
      </c>
      <c r="U7" s="217"/>
    </row>
    <row r="8" spans="1:21" ht="17.25">
      <c r="A8" s="27"/>
      <c r="B8" s="183"/>
      <c r="C8" s="183"/>
      <c r="D8" s="183"/>
      <c r="E8" s="183"/>
      <c r="F8" s="27"/>
      <c r="G8" s="199" t="s">
        <v>104</v>
      </c>
      <c r="H8" s="199" t="s">
        <v>105</v>
      </c>
      <c r="I8" s="199" t="s">
        <v>104</v>
      </c>
      <c r="J8" s="199" t="s">
        <v>105</v>
      </c>
      <c r="K8" s="27"/>
      <c r="L8" s="31"/>
      <c r="M8" s="206" t="s">
        <v>107</v>
      </c>
      <c r="N8" s="207" t="s">
        <v>108</v>
      </c>
      <c r="O8" s="31"/>
      <c r="P8" s="213" t="s">
        <v>95</v>
      </c>
      <c r="Q8" s="213" t="s">
        <v>96</v>
      </c>
      <c r="R8" s="155" t="s">
        <v>104</v>
      </c>
      <c r="S8" s="155" t="s">
        <v>105</v>
      </c>
      <c r="T8" s="218" t="s">
        <v>112</v>
      </c>
      <c r="U8" s="218" t="s">
        <v>113</v>
      </c>
    </row>
    <row r="9" spans="1:21" ht="17.25">
      <c r="A9" s="27"/>
      <c r="B9" s="183" t="s">
        <v>159</v>
      </c>
      <c r="C9" s="183"/>
      <c r="D9" s="183"/>
      <c r="E9" s="183"/>
      <c r="F9" s="27"/>
      <c r="G9" s="200">
        <f>'BALANZA DE COMPROBACION'!F8</f>
        <v>5000</v>
      </c>
      <c r="H9" s="200">
        <f>'BALANZA DE COMPROBACION'!G8</f>
        <v>772</v>
      </c>
      <c r="I9" s="200">
        <f>'BALANZA DE COMPROBACION'!H8</f>
        <v>4228</v>
      </c>
      <c r="J9" s="199"/>
      <c r="K9" s="27"/>
      <c r="L9" s="31"/>
      <c r="M9" s="206"/>
      <c r="N9" s="208">
        <f>I9-'PROB. AJUSTES'!F6</f>
        <v>98</v>
      </c>
      <c r="O9" s="203">
        <v>1</v>
      </c>
      <c r="P9" s="214">
        <f>I9-N9</f>
        <v>4130</v>
      </c>
      <c r="Q9" s="213"/>
      <c r="R9" s="155"/>
      <c r="S9" s="155"/>
      <c r="T9" s="219">
        <f>P9</f>
        <v>4130</v>
      </c>
      <c r="U9" s="218"/>
    </row>
    <row r="10" spans="1:21" ht="17.25">
      <c r="A10" s="27"/>
      <c r="B10" s="183" t="s">
        <v>4</v>
      </c>
      <c r="C10" s="183"/>
      <c r="D10" s="183"/>
      <c r="E10" s="183"/>
      <c r="F10" s="27"/>
      <c r="G10" s="200">
        <f>'BALANZA DE COMPROBACION'!F9</f>
        <v>114603.16</v>
      </c>
      <c r="H10" s="201">
        <f>'BALANZA DE COMPROBACION'!G9</f>
        <v>21770</v>
      </c>
      <c r="I10" s="201">
        <f>'BALANZA DE COMPROBACION'!H9</f>
        <v>92833</v>
      </c>
      <c r="J10" s="199"/>
      <c r="K10" s="27"/>
      <c r="L10" s="31"/>
      <c r="M10" s="206"/>
      <c r="N10" s="209">
        <f>I10-'PROB. AJUSTES'!G9</f>
        <v>2162</v>
      </c>
      <c r="O10" s="203">
        <v>2</v>
      </c>
      <c r="P10" s="215">
        <f>I10-N10</f>
        <v>90671</v>
      </c>
      <c r="Q10" s="213"/>
      <c r="R10" s="155"/>
      <c r="S10" s="155"/>
      <c r="T10" s="220">
        <f>P10</f>
        <v>90671</v>
      </c>
      <c r="U10" s="218"/>
    </row>
    <row r="11" spans="1:21" ht="17.25">
      <c r="A11" s="27"/>
      <c r="B11" s="183" t="s">
        <v>5</v>
      </c>
      <c r="C11" s="183"/>
      <c r="D11" s="183"/>
      <c r="E11" s="183"/>
      <c r="F11" s="27"/>
      <c r="G11" s="200">
        <f>'BALANZA DE COMPROBACION'!F10</f>
        <v>14200</v>
      </c>
      <c r="H11" s="200">
        <f>'BALANZA DE COMPROBACION'!G10</f>
        <v>9695</v>
      </c>
      <c r="I11" s="200">
        <f>'BALANZA DE COMPROBACION'!H10</f>
        <v>4505</v>
      </c>
      <c r="J11" s="199"/>
      <c r="K11" s="27"/>
      <c r="L11" s="203">
        <v>3</v>
      </c>
      <c r="M11" s="210">
        <f>'TARGETA DE ALMACEN'!I16</f>
        <v>301</v>
      </c>
      <c r="N11" s="207"/>
      <c r="O11" s="203"/>
      <c r="P11" s="215">
        <f>I11+M11</f>
        <v>4806</v>
      </c>
      <c r="Q11" s="213"/>
      <c r="R11" s="155"/>
      <c r="S11" s="155"/>
      <c r="T11" s="220">
        <f>P11</f>
        <v>4806</v>
      </c>
      <c r="U11" s="218"/>
    </row>
    <row r="12" spans="1:21" ht="17.25">
      <c r="A12" s="27"/>
      <c r="B12" s="183" t="s">
        <v>9</v>
      </c>
      <c r="C12" s="183"/>
      <c r="D12" s="183"/>
      <c r="E12" s="183"/>
      <c r="F12" s="27"/>
      <c r="G12" s="200">
        <f>'BALANZA DE COMPROBACION'!F11</f>
        <v>20000</v>
      </c>
      <c r="H12" s="199"/>
      <c r="I12" s="200">
        <f>G12</f>
        <v>20000</v>
      </c>
      <c r="J12" s="199"/>
      <c r="K12" s="27"/>
      <c r="L12" s="203"/>
      <c r="M12" s="206"/>
      <c r="N12" s="207"/>
      <c r="O12" s="203"/>
      <c r="P12" s="214">
        <f>I12</f>
        <v>20000</v>
      </c>
      <c r="Q12" s="213"/>
      <c r="R12" s="155"/>
      <c r="S12" s="155"/>
      <c r="T12" s="219">
        <f>P12</f>
        <v>20000</v>
      </c>
      <c r="U12" s="218"/>
    </row>
    <row r="13" spans="1:21" ht="17.25">
      <c r="A13" s="27"/>
      <c r="B13" s="183" t="s">
        <v>122</v>
      </c>
      <c r="C13" s="183"/>
      <c r="D13" s="183"/>
      <c r="E13" s="183"/>
      <c r="F13" s="27"/>
      <c r="G13" s="200"/>
      <c r="H13" s="200">
        <f>'BALANZA DE COMPROBACION'!G21</f>
        <v>127000</v>
      </c>
      <c r="I13" s="199"/>
      <c r="J13" s="200">
        <f>H13</f>
        <v>127000</v>
      </c>
      <c r="K13" s="27"/>
      <c r="L13" s="203"/>
      <c r="M13" s="206"/>
      <c r="N13" s="207"/>
      <c r="O13" s="203"/>
      <c r="P13" s="213"/>
      <c r="Q13" s="214">
        <f>J13</f>
        <v>127000</v>
      </c>
      <c r="R13" s="155"/>
      <c r="S13" s="155"/>
      <c r="T13" s="218"/>
      <c r="U13" s="219">
        <f>Q13</f>
        <v>127000</v>
      </c>
    </row>
    <row r="14" spans="1:21" ht="17.25">
      <c r="A14" s="27"/>
      <c r="B14" s="184" t="s">
        <v>161</v>
      </c>
      <c r="C14" s="184"/>
      <c r="D14" s="184"/>
      <c r="E14" s="184"/>
      <c r="F14" s="27"/>
      <c r="G14" s="200"/>
      <c r="H14" s="199">
        <f>'BALANZA DE COMPROBACION'!G17</f>
        <v>9923</v>
      </c>
      <c r="I14" s="199"/>
      <c r="J14" s="199">
        <f>H14</f>
        <v>9923</v>
      </c>
      <c r="K14" s="27"/>
      <c r="L14" s="203"/>
      <c r="M14" s="206"/>
      <c r="N14" s="207"/>
      <c r="O14" s="203"/>
      <c r="P14" s="213"/>
      <c r="Q14" s="213">
        <f>J14</f>
        <v>9923</v>
      </c>
      <c r="R14" s="155"/>
      <c r="S14" s="155"/>
      <c r="T14" s="218"/>
      <c r="U14" s="218">
        <f>Q14</f>
        <v>9923</v>
      </c>
    </row>
    <row r="15" spans="1:21" ht="17.25">
      <c r="A15" s="27"/>
      <c r="B15" s="183" t="s">
        <v>162</v>
      </c>
      <c r="C15" s="183"/>
      <c r="D15" s="183"/>
      <c r="E15" s="183"/>
      <c r="F15" s="27"/>
      <c r="G15" s="200">
        <f>'BALANZA DE COMPROBACION'!F12</f>
        <v>1937</v>
      </c>
      <c r="H15" s="199"/>
      <c r="I15" s="200">
        <f>G15</f>
        <v>1937</v>
      </c>
      <c r="J15" s="199"/>
      <c r="K15" s="27"/>
      <c r="L15" s="203">
        <v>2</v>
      </c>
      <c r="M15" s="210">
        <f>ROUND(((N10/1.11))*11%,0)</f>
        <v>214</v>
      </c>
      <c r="N15" s="209">
        <f>I15+M15</f>
        <v>2151</v>
      </c>
      <c r="O15" s="203">
        <v>11</v>
      </c>
      <c r="P15" s="215"/>
      <c r="Q15" s="213"/>
      <c r="R15" s="155"/>
      <c r="S15" s="155"/>
      <c r="T15" s="218"/>
      <c r="U15" s="218"/>
    </row>
    <row r="16" spans="1:21" ht="17.25">
      <c r="A16" s="27"/>
      <c r="B16" s="183" t="s">
        <v>201</v>
      </c>
      <c r="C16" s="183"/>
      <c r="D16" s="183"/>
      <c r="E16" s="183"/>
      <c r="F16" s="27"/>
      <c r="G16" s="200">
        <f>'BALANZA DE COMPROBACION'!F13</f>
        <v>1478</v>
      </c>
      <c r="H16" s="199"/>
      <c r="I16" s="200">
        <f>G16</f>
        <v>1478</v>
      </c>
      <c r="J16" s="199"/>
      <c r="K16" s="27"/>
      <c r="L16" s="203"/>
      <c r="M16" s="206"/>
      <c r="N16" s="207"/>
      <c r="O16" s="203"/>
      <c r="P16" s="214">
        <f>I16</f>
        <v>1478</v>
      </c>
      <c r="Q16" s="213"/>
      <c r="R16" s="155"/>
      <c r="S16" s="155"/>
      <c r="T16" s="219">
        <f>P16</f>
        <v>1478</v>
      </c>
      <c r="U16" s="218"/>
    </row>
    <row r="17" spans="1:21" ht="17.25">
      <c r="A17" s="27"/>
      <c r="B17" s="183" t="s">
        <v>164</v>
      </c>
      <c r="C17" s="183"/>
      <c r="D17" s="183"/>
      <c r="E17" s="183"/>
      <c r="F17" s="27"/>
      <c r="G17" s="200">
        <f>'BALANZA DE COMPROBACION'!F22</f>
        <v>360</v>
      </c>
      <c r="H17" s="200">
        <f>'BALANZA DE COMPROBACION'!G22</f>
        <v>29000</v>
      </c>
      <c r="I17" s="199"/>
      <c r="J17" s="200">
        <f>'BALANZA DE COMPROBACION'!I22</f>
        <v>28640</v>
      </c>
      <c r="K17" s="27"/>
      <c r="L17" s="203">
        <v>3</v>
      </c>
      <c r="M17" s="211">
        <f>PROBLEMAS!E30</f>
        <v>850</v>
      </c>
      <c r="N17" s="207"/>
      <c r="O17" s="203"/>
      <c r="P17" s="213"/>
      <c r="Q17" s="214">
        <f>J17-M17</f>
        <v>27790</v>
      </c>
      <c r="R17" s="155"/>
      <c r="S17" s="197">
        <f>Q17</f>
        <v>27790</v>
      </c>
      <c r="T17" s="218"/>
      <c r="U17" s="218"/>
    </row>
    <row r="18" spans="1:21" ht="17.25">
      <c r="A18" s="27"/>
      <c r="B18" s="183" t="s">
        <v>203</v>
      </c>
      <c r="C18" s="183"/>
      <c r="D18" s="183"/>
      <c r="E18" s="183"/>
      <c r="F18" s="27"/>
      <c r="G18" s="200"/>
      <c r="H18" s="199">
        <f>'BALANZA DE COMPROBACION'!G19</f>
        <v>1447</v>
      </c>
      <c r="I18" s="199"/>
      <c r="J18" s="199">
        <f>'BALANZA DE COMPROBACION'!I19</f>
        <v>1447</v>
      </c>
      <c r="K18" s="27"/>
      <c r="L18" s="203">
        <v>11</v>
      </c>
      <c r="M18" s="206">
        <f>J18</f>
        <v>1447</v>
      </c>
      <c r="N18" s="207"/>
      <c r="O18" s="203"/>
      <c r="P18" s="213"/>
      <c r="Q18" s="213"/>
      <c r="R18" s="155"/>
      <c r="S18" s="155"/>
      <c r="T18" s="218"/>
      <c r="U18" s="218"/>
    </row>
    <row r="19" spans="1:21" ht="17.25">
      <c r="A19" s="27"/>
      <c r="B19" s="183" t="s">
        <v>208</v>
      </c>
      <c r="C19" s="183"/>
      <c r="D19" s="183"/>
      <c r="E19" s="183"/>
      <c r="F19" s="27"/>
      <c r="G19" s="200"/>
      <c r="H19" s="199">
        <f>'BALANZA DE COMPROBACION'!G18</f>
        <v>1703</v>
      </c>
      <c r="I19" s="199"/>
      <c r="J19" s="199">
        <f>H19</f>
        <v>1703</v>
      </c>
      <c r="K19" s="27"/>
      <c r="L19" s="203">
        <v>3</v>
      </c>
      <c r="M19" s="210">
        <f>ROUND(M17*PROBLEMAS!H30,0)</f>
        <v>94</v>
      </c>
      <c r="N19" s="208">
        <f>N41*'PROB. AJUSTES'!G30</f>
        <v>330</v>
      </c>
      <c r="O19" s="203">
        <v>10</v>
      </c>
      <c r="P19" s="213"/>
      <c r="Q19" s="215">
        <f>J19-M19+N19</f>
        <v>1939</v>
      </c>
      <c r="R19" s="155"/>
      <c r="S19" s="155"/>
      <c r="T19" s="218"/>
      <c r="U19" s="220">
        <f>Q19</f>
        <v>1939</v>
      </c>
    </row>
    <row r="20" spans="1:21" ht="17.25">
      <c r="A20" s="27"/>
      <c r="B20" s="183" t="s">
        <v>167</v>
      </c>
      <c r="C20" s="183"/>
      <c r="D20" s="183"/>
      <c r="E20" s="183"/>
      <c r="F20" s="27"/>
      <c r="G20" s="200">
        <f>'BALANZA DE COMPROBACION'!F14</f>
        <v>17187.239999999998</v>
      </c>
      <c r="H20" s="199"/>
      <c r="I20" s="200">
        <f>G20</f>
        <v>17187.239999999998</v>
      </c>
      <c r="J20" s="199"/>
      <c r="K20" s="27"/>
      <c r="L20" s="203"/>
      <c r="M20" s="206"/>
      <c r="N20" s="209">
        <f>M17+M19</f>
        <v>944</v>
      </c>
      <c r="O20" s="203">
        <v>3</v>
      </c>
      <c r="P20" s="215">
        <f>ROUND(I20-N20,0)</f>
        <v>16243</v>
      </c>
      <c r="Q20" s="213"/>
      <c r="R20" s="155"/>
      <c r="S20" s="155"/>
      <c r="T20" s="220">
        <f>P20</f>
        <v>16243</v>
      </c>
      <c r="U20" s="218"/>
    </row>
    <row r="21" spans="1:21" ht="17.25">
      <c r="A21" s="27"/>
      <c r="B21" s="183" t="s">
        <v>209</v>
      </c>
      <c r="C21" s="183"/>
      <c r="D21" s="183"/>
      <c r="E21" s="183"/>
      <c r="F21" s="27"/>
      <c r="G21" s="200">
        <f>'BALANZA DE COMPROBACION'!F15</f>
        <v>12000</v>
      </c>
      <c r="H21" s="199"/>
      <c r="I21" s="200">
        <f>G21</f>
        <v>12000</v>
      </c>
      <c r="J21" s="199"/>
      <c r="K21" s="27"/>
      <c r="L21" s="203"/>
      <c r="M21" s="206"/>
      <c r="N21" s="208">
        <f>'PROB. AJUSTES'!D17*PROBLEMAS!H19</f>
        <v>2000</v>
      </c>
      <c r="O21" s="203">
        <v>5</v>
      </c>
      <c r="P21" s="214">
        <f>I21-N21</f>
        <v>10000</v>
      </c>
      <c r="Q21" s="213"/>
      <c r="R21" s="155"/>
      <c r="S21" s="155"/>
      <c r="T21" s="219">
        <f>P21</f>
        <v>10000</v>
      </c>
      <c r="U21" s="218"/>
    </row>
    <row r="22" spans="1:21" ht="17.25">
      <c r="A22" s="27"/>
      <c r="B22" s="185" t="s">
        <v>207</v>
      </c>
      <c r="C22" s="186"/>
      <c r="D22" s="186"/>
      <c r="E22" s="187"/>
      <c r="F22" s="27"/>
      <c r="G22" s="200">
        <f>'BALANZA DE COMPROBACION'!F16</f>
        <v>5000</v>
      </c>
      <c r="H22" s="199"/>
      <c r="I22" s="200">
        <f>G22</f>
        <v>5000</v>
      </c>
      <c r="J22" s="199"/>
      <c r="K22" s="27"/>
      <c r="L22" s="203"/>
      <c r="M22" s="206"/>
      <c r="N22" s="207"/>
      <c r="O22" s="203"/>
      <c r="P22" s="214">
        <f>I22</f>
        <v>5000</v>
      </c>
      <c r="Q22" s="213"/>
      <c r="R22" s="155"/>
      <c r="S22" s="155"/>
      <c r="T22" s="219">
        <f>P22</f>
        <v>5000</v>
      </c>
      <c r="U22" s="218"/>
    </row>
    <row r="23" spans="1:21" ht="17.25">
      <c r="A23" s="27"/>
      <c r="B23" s="185" t="s">
        <v>204</v>
      </c>
      <c r="C23" s="186"/>
      <c r="D23" s="186"/>
      <c r="E23" s="187"/>
      <c r="F23" s="27"/>
      <c r="G23" s="200"/>
      <c r="H23" s="200">
        <f>'BALANZA DE COMPROBACION'!G20</f>
        <v>5000</v>
      </c>
      <c r="I23" s="199"/>
      <c r="J23" s="200">
        <f>H23</f>
        <v>5000</v>
      </c>
      <c r="K23" s="27"/>
      <c r="L23" s="203"/>
      <c r="M23" s="206"/>
      <c r="N23" s="208">
        <f>'PROB. AJUSTES'!F27</f>
        <v>100</v>
      </c>
      <c r="O23" s="203">
        <v>9</v>
      </c>
      <c r="P23" s="213"/>
      <c r="Q23" s="214">
        <f>J23+N23</f>
        <v>5100</v>
      </c>
      <c r="R23" s="155"/>
      <c r="S23" s="155"/>
      <c r="T23" s="218"/>
      <c r="U23" s="219">
        <f>Q23</f>
        <v>5100</v>
      </c>
    </row>
    <row r="24" spans="1:21" ht="17.25">
      <c r="A24" s="27"/>
      <c r="B24" s="185" t="s">
        <v>210</v>
      </c>
      <c r="C24" s="186"/>
      <c r="D24" s="186"/>
      <c r="E24" s="187"/>
      <c r="F24" s="27"/>
      <c r="G24" s="200">
        <f>'BALANZA DE COMPROBACION'!F24</f>
        <v>2500</v>
      </c>
      <c r="H24" s="199"/>
      <c r="I24" s="200">
        <f>G24</f>
        <v>2500</v>
      </c>
      <c r="J24" s="199"/>
      <c r="K24" s="27"/>
      <c r="L24" s="203">
        <v>1</v>
      </c>
      <c r="M24" s="211">
        <f>N9</f>
        <v>98</v>
      </c>
      <c r="N24" s="208">
        <f>M40*PROBLEMAS!G28</f>
        <v>250</v>
      </c>
      <c r="O24" s="203">
        <v>8</v>
      </c>
      <c r="P24" s="214">
        <f>I24+SUM(M24:M29)-N24</f>
        <v>7946</v>
      </c>
      <c r="Q24" s="213"/>
      <c r="R24" s="197">
        <f>P24</f>
        <v>7946</v>
      </c>
      <c r="S24" s="155"/>
      <c r="T24" s="218"/>
      <c r="U24" s="218"/>
    </row>
    <row r="25" spans="1:21" ht="17.25">
      <c r="A25" s="27"/>
      <c r="B25" s="185"/>
      <c r="C25" s="186"/>
      <c r="D25" s="186"/>
      <c r="E25" s="187"/>
      <c r="F25" s="27"/>
      <c r="G25" s="200"/>
      <c r="H25" s="199"/>
      <c r="I25" s="199"/>
      <c r="J25" s="199"/>
      <c r="K25" s="27"/>
      <c r="L25" s="203">
        <v>2</v>
      </c>
      <c r="M25" s="210">
        <f>N10-M15</f>
        <v>1948</v>
      </c>
      <c r="N25" s="207"/>
      <c r="O25" s="203"/>
      <c r="P25" s="213"/>
      <c r="Q25" s="213"/>
      <c r="R25" s="155"/>
      <c r="S25" s="155"/>
      <c r="T25" s="218"/>
      <c r="U25" s="218"/>
    </row>
    <row r="26" spans="1:21" ht="17.25">
      <c r="A26" s="27"/>
      <c r="B26" s="185"/>
      <c r="C26" s="186"/>
      <c r="D26" s="186"/>
      <c r="E26" s="187"/>
      <c r="F26" s="27"/>
      <c r="G26" s="199"/>
      <c r="H26" s="199"/>
      <c r="I26" s="199"/>
      <c r="J26" s="199"/>
      <c r="K26" s="27"/>
      <c r="L26" s="203">
        <v>5</v>
      </c>
      <c r="M26" s="211">
        <f>N21*50%</f>
        <v>1000</v>
      </c>
      <c r="N26" s="207"/>
      <c r="O26" s="203"/>
      <c r="P26" s="213"/>
      <c r="Q26" s="213"/>
      <c r="R26" s="155"/>
      <c r="S26" s="155"/>
      <c r="T26" s="218"/>
      <c r="U26" s="218"/>
    </row>
    <row r="27" spans="1:21" ht="17.25">
      <c r="A27" s="27"/>
      <c r="B27" s="185"/>
      <c r="C27" s="186"/>
      <c r="D27" s="186"/>
      <c r="E27" s="187"/>
      <c r="F27" s="27"/>
      <c r="G27" s="199"/>
      <c r="H27" s="199"/>
      <c r="I27" s="199"/>
      <c r="J27" s="199"/>
      <c r="K27" s="27"/>
      <c r="L27" s="203">
        <v>6</v>
      </c>
      <c r="M27" s="211">
        <f>N38*'PROB. AJUSTES'!M19</f>
        <v>2400</v>
      </c>
      <c r="N27" s="207"/>
      <c r="O27" s="203"/>
      <c r="P27" s="213"/>
      <c r="Q27" s="213"/>
      <c r="R27" s="155"/>
      <c r="S27" s="155"/>
      <c r="T27" s="218"/>
      <c r="U27" s="218"/>
    </row>
    <row r="28" spans="1:21" ht="17.25">
      <c r="A28" s="27"/>
      <c r="B28" s="185"/>
      <c r="C28" s="186"/>
      <c r="D28" s="186"/>
      <c r="E28" s="187"/>
      <c r="F28" s="27"/>
      <c r="G28" s="199"/>
      <c r="H28" s="199"/>
      <c r="I28" s="199"/>
      <c r="J28" s="199"/>
      <c r="K28" s="27"/>
      <c r="L28" s="203">
        <v>7</v>
      </c>
      <c r="M28" s="211">
        <f>N39*'PROB. AJUSTES'!M22</f>
        <v>200</v>
      </c>
      <c r="N28" s="207"/>
      <c r="O28" s="203"/>
      <c r="P28" s="213"/>
      <c r="Q28" s="213"/>
      <c r="R28" s="155"/>
      <c r="S28" s="155"/>
      <c r="T28" s="218"/>
      <c r="U28" s="218"/>
    </row>
    <row r="29" spans="1:21" ht="17.25">
      <c r="A29" s="27"/>
      <c r="B29" s="183"/>
      <c r="C29" s="183"/>
      <c r="D29" s="183"/>
      <c r="E29" s="183"/>
      <c r="F29" s="27"/>
      <c r="G29" s="199"/>
      <c r="H29" s="199"/>
      <c r="I29" s="199"/>
      <c r="J29" s="199"/>
      <c r="K29" s="27"/>
      <c r="L29" s="203">
        <v>9</v>
      </c>
      <c r="M29" s="211">
        <f>N23*'PROB. AJUSTES'!M27</f>
        <v>50</v>
      </c>
      <c r="N29" s="207"/>
      <c r="O29" s="203"/>
      <c r="P29" s="213"/>
      <c r="Q29" s="213"/>
      <c r="R29" s="155"/>
      <c r="S29" s="155"/>
      <c r="T29" s="218"/>
      <c r="U29" s="218"/>
    </row>
    <row r="30" spans="1:21" ht="17.25">
      <c r="A30" s="27"/>
      <c r="B30" s="185"/>
      <c r="C30" s="186"/>
      <c r="D30" s="186"/>
      <c r="E30" s="187"/>
      <c r="F30" s="27"/>
      <c r="G30" s="199"/>
      <c r="H30" s="199"/>
      <c r="I30" s="199"/>
      <c r="J30" s="199"/>
      <c r="K30" s="27"/>
      <c r="L30" s="203"/>
      <c r="M30" s="211"/>
      <c r="N30" s="207"/>
      <c r="O30" s="203"/>
      <c r="P30" s="213"/>
      <c r="Q30" s="213"/>
      <c r="R30" s="155"/>
      <c r="S30" s="155"/>
      <c r="T30" s="218"/>
      <c r="U30" s="218"/>
    </row>
    <row r="31" spans="1:21" ht="17.25">
      <c r="A31" s="27"/>
      <c r="B31" s="183" t="s">
        <v>205</v>
      </c>
      <c r="C31" s="183"/>
      <c r="D31" s="183"/>
      <c r="E31" s="183"/>
      <c r="F31" s="27"/>
      <c r="G31" s="199">
        <f>'BALANZA DE COMPROBACION'!F25</f>
        <v>2500</v>
      </c>
      <c r="H31" s="199"/>
      <c r="I31" s="199">
        <f>G31</f>
        <v>2500</v>
      </c>
      <c r="J31" s="199"/>
      <c r="K31" s="27"/>
      <c r="L31" s="203">
        <v>4</v>
      </c>
      <c r="M31" s="210">
        <f>N37</f>
        <v>344</v>
      </c>
      <c r="N31" s="208">
        <f>M40*PROBLEMAS!C28</f>
        <v>250</v>
      </c>
      <c r="O31" s="203">
        <v>8</v>
      </c>
      <c r="P31" s="215">
        <f>I31+SUM(M31:M35)-N31</f>
        <v>7544</v>
      </c>
      <c r="Q31" s="213"/>
      <c r="R31" s="198">
        <f>P31</f>
        <v>7544</v>
      </c>
      <c r="S31" s="155"/>
      <c r="T31" s="218"/>
      <c r="U31" s="218"/>
    </row>
    <row r="32" spans="1:21" ht="17.25">
      <c r="A32" s="27"/>
      <c r="B32" s="183"/>
      <c r="C32" s="183"/>
      <c r="D32" s="183"/>
      <c r="E32" s="183"/>
      <c r="F32" s="27"/>
      <c r="G32" s="199"/>
      <c r="H32" s="199"/>
      <c r="I32" s="199"/>
      <c r="J32" s="199"/>
      <c r="K32" s="27"/>
      <c r="L32" s="203">
        <v>5</v>
      </c>
      <c r="M32" s="211">
        <f>N21*50%</f>
        <v>1000</v>
      </c>
      <c r="N32" s="207"/>
      <c r="O32" s="203"/>
      <c r="P32" s="213"/>
      <c r="Q32" s="213"/>
      <c r="R32" s="155"/>
      <c r="S32" s="155"/>
      <c r="T32" s="218"/>
      <c r="U32" s="218"/>
    </row>
    <row r="33" spans="1:21" ht="17.25">
      <c r="A33" s="27"/>
      <c r="B33" s="183"/>
      <c r="C33" s="183"/>
      <c r="D33" s="183"/>
      <c r="E33" s="183"/>
      <c r="F33" s="27"/>
      <c r="G33" s="199"/>
      <c r="H33" s="199"/>
      <c r="I33" s="199"/>
      <c r="J33" s="199"/>
      <c r="K33" s="27"/>
      <c r="L33" s="203">
        <v>6</v>
      </c>
      <c r="M33" s="211">
        <f>N38*'PROB. AJUSTES'!I19</f>
        <v>3600</v>
      </c>
      <c r="N33" s="207"/>
      <c r="O33" s="203"/>
      <c r="P33" s="213"/>
      <c r="Q33" s="213"/>
      <c r="R33" s="155"/>
      <c r="S33" s="155"/>
      <c r="T33" s="218"/>
      <c r="U33" s="218"/>
    </row>
    <row r="34" spans="1:21" ht="17.25">
      <c r="A34" s="27"/>
      <c r="B34" s="183"/>
      <c r="C34" s="183"/>
      <c r="D34" s="183"/>
      <c r="E34" s="183"/>
      <c r="F34" s="27"/>
      <c r="G34" s="199"/>
      <c r="H34" s="199"/>
      <c r="I34" s="199"/>
      <c r="J34" s="199"/>
      <c r="K34" s="27"/>
      <c r="L34" s="203">
        <v>7</v>
      </c>
      <c r="M34" s="211">
        <f>N39*'PROB. AJUSTES'!I22</f>
        <v>300</v>
      </c>
      <c r="N34" s="207"/>
      <c r="O34" s="203"/>
      <c r="P34" s="213"/>
      <c r="Q34" s="213"/>
      <c r="R34" s="155"/>
      <c r="S34" s="155"/>
      <c r="T34" s="218"/>
      <c r="U34" s="218"/>
    </row>
    <row r="35" spans="1:21" ht="17.25">
      <c r="A35" s="27"/>
      <c r="B35" s="183"/>
      <c r="C35" s="183"/>
      <c r="D35" s="183"/>
      <c r="E35" s="183"/>
      <c r="F35" s="27"/>
      <c r="G35" s="199"/>
      <c r="H35" s="199"/>
      <c r="I35" s="199"/>
      <c r="J35" s="199"/>
      <c r="K35" s="27"/>
      <c r="L35" s="203">
        <v>9</v>
      </c>
      <c r="M35" s="211">
        <f>N23*'PROB. AJUSTES'!I27</f>
        <v>50</v>
      </c>
      <c r="N35" s="207"/>
      <c r="O35" s="203"/>
      <c r="P35" s="213"/>
      <c r="Q35" s="213"/>
      <c r="R35" s="155"/>
      <c r="S35" s="155"/>
      <c r="T35" s="218"/>
      <c r="U35" s="218"/>
    </row>
    <row r="36" spans="1:21" ht="17.25">
      <c r="A36" s="27"/>
      <c r="B36" s="183" t="s">
        <v>211</v>
      </c>
      <c r="C36" s="183"/>
      <c r="D36" s="183"/>
      <c r="E36" s="183"/>
      <c r="F36" s="27"/>
      <c r="G36" s="200">
        <f>'BALANZA DE COMPROBACION'!F23</f>
        <v>9545</v>
      </c>
      <c r="H36" s="199"/>
      <c r="I36" s="200">
        <f>G36</f>
        <v>9545</v>
      </c>
      <c r="J36" s="199"/>
      <c r="K36" s="27"/>
      <c r="L36" s="203"/>
      <c r="M36" s="206"/>
      <c r="N36" s="209">
        <f>M11</f>
        <v>301</v>
      </c>
      <c r="O36" s="203">
        <v>3</v>
      </c>
      <c r="P36" s="215">
        <f>I36-N36</f>
        <v>9244</v>
      </c>
      <c r="Q36" s="213"/>
      <c r="R36" s="198">
        <f>P36</f>
        <v>9244</v>
      </c>
      <c r="S36" s="155"/>
      <c r="T36" s="218"/>
      <c r="U36" s="218"/>
    </row>
    <row r="37" spans="1:21" ht="17.25">
      <c r="A37" s="27"/>
      <c r="B37" s="183" t="s">
        <v>212</v>
      </c>
      <c r="C37" s="183"/>
      <c r="D37" s="183"/>
      <c r="E37" s="183"/>
      <c r="F37" s="27"/>
      <c r="G37" s="199"/>
      <c r="H37" s="199"/>
      <c r="I37" s="199"/>
      <c r="J37" s="199"/>
      <c r="K37" s="27"/>
      <c r="L37" s="203"/>
      <c r="M37" s="206"/>
      <c r="N37" s="207">
        <f>ROUND(I20*'PROB. AJUSTES'!E15,0)</f>
        <v>344</v>
      </c>
      <c r="O37" s="203">
        <v>4</v>
      </c>
      <c r="P37" s="215"/>
      <c r="Q37" s="213">
        <f>N37</f>
        <v>344</v>
      </c>
      <c r="R37" s="155"/>
      <c r="S37" s="155"/>
      <c r="T37" s="218"/>
      <c r="U37" s="218">
        <f>Q37</f>
        <v>344</v>
      </c>
    </row>
    <row r="38" spans="1:21" ht="17.25">
      <c r="A38" s="27"/>
      <c r="B38" s="183" t="s">
        <v>213</v>
      </c>
      <c r="C38" s="183"/>
      <c r="D38" s="183"/>
      <c r="E38" s="183"/>
      <c r="F38" s="27"/>
      <c r="G38" s="199"/>
      <c r="H38" s="199"/>
      <c r="I38" s="199"/>
      <c r="J38" s="199"/>
      <c r="K38" s="27"/>
      <c r="L38" s="203"/>
      <c r="M38" s="206"/>
      <c r="N38" s="208">
        <f>I12*'PROB. AJUSTES'!C19</f>
        <v>6000</v>
      </c>
      <c r="O38" s="203">
        <v>6</v>
      </c>
      <c r="P38" s="214"/>
      <c r="Q38" s="213">
        <f t="shared" ref="Q38:Q39" si="0">N38</f>
        <v>6000</v>
      </c>
      <c r="R38" s="155"/>
      <c r="S38" s="155"/>
      <c r="T38" s="218"/>
      <c r="U38" s="218">
        <f>Q38</f>
        <v>6000</v>
      </c>
    </row>
    <row r="39" spans="1:21" ht="17.25">
      <c r="A39" s="27"/>
      <c r="B39" s="183" t="s">
        <v>214</v>
      </c>
      <c r="C39" s="183"/>
      <c r="D39" s="183"/>
      <c r="E39" s="183"/>
      <c r="F39" s="27"/>
      <c r="G39" s="199"/>
      <c r="H39" s="199"/>
      <c r="I39" s="199"/>
      <c r="J39" s="199"/>
      <c r="K39" s="27"/>
      <c r="L39" s="203"/>
      <c r="M39" s="206"/>
      <c r="N39" s="208">
        <f>I22*'PROB. AJUSTES'!C22</f>
        <v>500</v>
      </c>
      <c r="O39" s="203">
        <v>7</v>
      </c>
      <c r="P39" s="213"/>
      <c r="Q39" s="213">
        <f t="shared" si="0"/>
        <v>500</v>
      </c>
      <c r="R39" s="155"/>
      <c r="S39" s="155"/>
      <c r="T39" s="218"/>
      <c r="U39" s="218">
        <f>Q39</f>
        <v>500</v>
      </c>
    </row>
    <row r="40" spans="1:21" ht="17.25">
      <c r="A40" s="27"/>
      <c r="B40" s="183" t="s">
        <v>215</v>
      </c>
      <c r="C40" s="183"/>
      <c r="D40" s="183"/>
      <c r="E40" s="183"/>
      <c r="F40" s="27"/>
      <c r="G40" s="199"/>
      <c r="H40" s="199"/>
      <c r="I40" s="199"/>
      <c r="J40" s="199"/>
      <c r="K40" s="27"/>
      <c r="L40" s="203">
        <v>8</v>
      </c>
      <c r="M40" s="211">
        <f>'PROB. AJUSTES'!F25</f>
        <v>500</v>
      </c>
      <c r="N40" s="207"/>
      <c r="O40" s="203"/>
      <c r="P40" s="214">
        <f>M40</f>
        <v>500</v>
      </c>
      <c r="Q40" s="213"/>
      <c r="R40" s="155"/>
      <c r="S40" s="155"/>
      <c r="T40" s="219">
        <f>P40</f>
        <v>500</v>
      </c>
      <c r="U40" s="218"/>
    </row>
    <row r="41" spans="1:21" ht="17.25">
      <c r="A41" s="27"/>
      <c r="B41" s="183" t="s">
        <v>216</v>
      </c>
      <c r="C41" s="183"/>
      <c r="D41" s="183"/>
      <c r="E41" s="183"/>
      <c r="F41" s="27"/>
      <c r="G41" s="199"/>
      <c r="H41" s="199"/>
      <c r="I41" s="199"/>
      <c r="J41" s="199"/>
      <c r="K41" s="27"/>
      <c r="L41" s="203"/>
      <c r="M41" s="206"/>
      <c r="N41" s="208">
        <f>'PROB. AJUSTES'!E30</f>
        <v>3000</v>
      </c>
      <c r="O41" s="203">
        <v>10</v>
      </c>
      <c r="P41" s="213"/>
      <c r="Q41" s="214">
        <f>N41</f>
        <v>3000</v>
      </c>
      <c r="R41" s="155"/>
      <c r="S41" s="197">
        <f>Q41</f>
        <v>3000</v>
      </c>
      <c r="T41" s="218"/>
      <c r="U41" s="218"/>
    </row>
    <row r="42" spans="1:21" ht="17.25">
      <c r="A42" s="27"/>
      <c r="B42" s="183" t="s">
        <v>217</v>
      </c>
      <c r="C42" s="183"/>
      <c r="D42" s="183"/>
      <c r="E42" s="183"/>
      <c r="F42" s="27"/>
      <c r="G42" s="199"/>
      <c r="H42" s="199"/>
      <c r="I42" s="199"/>
      <c r="J42" s="199"/>
      <c r="K42" s="27"/>
      <c r="L42" s="203">
        <v>10</v>
      </c>
      <c r="M42" s="211">
        <f>N41+N19</f>
        <v>3330</v>
      </c>
      <c r="N42" s="207"/>
      <c r="O42" s="203"/>
      <c r="P42" s="214">
        <f>M42</f>
        <v>3330</v>
      </c>
      <c r="Q42" s="213"/>
      <c r="R42" s="155"/>
      <c r="S42" s="155"/>
      <c r="T42" s="219">
        <f>P42</f>
        <v>3330</v>
      </c>
      <c r="U42" s="218"/>
    </row>
    <row r="43" spans="1:21" ht="17.25">
      <c r="A43" s="27"/>
      <c r="B43" s="183" t="s">
        <v>218</v>
      </c>
      <c r="C43" s="183"/>
      <c r="D43" s="183"/>
      <c r="E43" s="183"/>
      <c r="F43" s="27"/>
      <c r="G43" s="199"/>
      <c r="H43" s="199"/>
      <c r="I43" s="199"/>
      <c r="J43" s="199"/>
      <c r="K43" s="27"/>
      <c r="L43" s="203">
        <v>11</v>
      </c>
      <c r="M43" s="210">
        <f>N15-M18</f>
        <v>704</v>
      </c>
      <c r="N43" s="207"/>
      <c r="O43" s="203"/>
      <c r="P43" s="214">
        <f>M43</f>
        <v>704</v>
      </c>
      <c r="Q43" s="213"/>
      <c r="R43" s="155"/>
      <c r="S43" s="155"/>
      <c r="T43" s="219">
        <f>P43</f>
        <v>704</v>
      </c>
      <c r="U43" s="218"/>
    </row>
    <row r="44" spans="1:21" ht="17.25">
      <c r="A44" s="27"/>
      <c r="B44" s="183" t="s">
        <v>219</v>
      </c>
      <c r="C44" s="183"/>
      <c r="D44" s="183"/>
      <c r="E44" s="183"/>
      <c r="F44" s="27"/>
      <c r="G44" s="199"/>
      <c r="H44" s="199"/>
      <c r="I44" s="199"/>
      <c r="J44" s="199"/>
      <c r="K44" s="27"/>
      <c r="L44" s="203"/>
      <c r="M44" s="206"/>
      <c r="N44" s="207"/>
      <c r="O44" s="203"/>
      <c r="P44" s="213"/>
      <c r="Q44" s="213"/>
      <c r="R44" s="198">
        <f>S17+S41-R36-R31-R24</f>
        <v>6056</v>
      </c>
      <c r="S44" s="155"/>
      <c r="T44" s="218"/>
      <c r="U44" s="220">
        <f>R44</f>
        <v>6056</v>
      </c>
    </row>
    <row r="45" spans="1:21" ht="17.25">
      <c r="A45" s="27"/>
      <c r="B45" s="183" t="s">
        <v>98</v>
      </c>
      <c r="C45" s="183"/>
      <c r="D45" s="183"/>
      <c r="E45" s="183"/>
      <c r="F45" s="27"/>
      <c r="G45" s="200">
        <f>SUM(G9:G44)</f>
        <v>206310.39999999999</v>
      </c>
      <c r="H45" s="200">
        <f>SUM(H9:H44)</f>
        <v>206310</v>
      </c>
      <c r="I45" s="200">
        <f>SUM(I9:I44)</f>
        <v>173713.24</v>
      </c>
      <c r="J45" s="199">
        <f>SUM(J9:J44)</f>
        <v>173713</v>
      </c>
      <c r="K45" s="27"/>
      <c r="L45" s="203"/>
      <c r="M45" s="206">
        <f>SUM(M9:M44)</f>
        <v>18430</v>
      </c>
      <c r="N45" s="208">
        <f>SUM(N9:N44)</f>
        <v>18430</v>
      </c>
      <c r="O45" s="203"/>
      <c r="P45" s="214">
        <f t="shared" ref="P45:U45" si="1">SUM(P9:P44)</f>
        <v>181596</v>
      </c>
      <c r="Q45" s="213">
        <f t="shared" si="1"/>
        <v>181596</v>
      </c>
      <c r="R45" s="155">
        <f t="shared" si="1"/>
        <v>30790</v>
      </c>
      <c r="S45" s="155">
        <f t="shared" si="1"/>
        <v>30790</v>
      </c>
      <c r="T45" s="219">
        <f t="shared" si="1"/>
        <v>156862</v>
      </c>
      <c r="U45" s="218">
        <f t="shared" si="1"/>
        <v>156862</v>
      </c>
    </row>
  </sheetData>
  <mergeCells count="51">
    <mergeCell ref="B45:E45"/>
    <mergeCell ref="B30:E30"/>
    <mergeCell ref="B40:E40"/>
    <mergeCell ref="B41:E41"/>
    <mergeCell ref="B42:E42"/>
    <mergeCell ref="B43:E43"/>
    <mergeCell ref="B44:E44"/>
    <mergeCell ref="B35:E35"/>
    <mergeCell ref="B36:E36"/>
    <mergeCell ref="B37:E37"/>
    <mergeCell ref="B38:E38"/>
    <mergeCell ref="B39:E39"/>
    <mergeCell ref="B29:E29"/>
    <mergeCell ref="B31:E31"/>
    <mergeCell ref="B32:E32"/>
    <mergeCell ref="B33:E33"/>
    <mergeCell ref="B34:E34"/>
    <mergeCell ref="B28:E28"/>
    <mergeCell ref="B6:E6"/>
    <mergeCell ref="B22:E22"/>
    <mergeCell ref="B23:E23"/>
    <mergeCell ref="B24:E24"/>
    <mergeCell ref="B25:E25"/>
    <mergeCell ref="B26:E26"/>
    <mergeCell ref="B27:E27"/>
    <mergeCell ref="B16:E16"/>
    <mergeCell ref="B17:E17"/>
    <mergeCell ref="B18:E18"/>
    <mergeCell ref="B19:E19"/>
    <mergeCell ref="B20:E20"/>
    <mergeCell ref="B21:E21"/>
    <mergeCell ref="B10:E10"/>
    <mergeCell ref="B11:E11"/>
    <mergeCell ref="B12:E12"/>
    <mergeCell ref="B13:E13"/>
    <mergeCell ref="B14:E14"/>
    <mergeCell ref="B15:E15"/>
    <mergeCell ref="P7:Q7"/>
    <mergeCell ref="R7:S7"/>
    <mergeCell ref="T7:U7"/>
    <mergeCell ref="B8:E8"/>
    <mergeCell ref="B9:E9"/>
    <mergeCell ref="F1:I1"/>
    <mergeCell ref="F2:I2"/>
    <mergeCell ref="E3:M3"/>
    <mergeCell ref="B7:E7"/>
    <mergeCell ref="G7:H7"/>
    <mergeCell ref="I7:J7"/>
    <mergeCell ref="G6:J6"/>
    <mergeCell ref="M7:N7"/>
    <mergeCell ref="A5:U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M52"/>
  <sheetViews>
    <sheetView topLeftCell="A22" workbookViewId="0">
      <selection activeCell="L29" sqref="L29"/>
    </sheetView>
  </sheetViews>
  <sheetFormatPr baseColWidth="10" defaultRowHeight="16.5"/>
  <cols>
    <col min="1" max="1" width="11" style="26"/>
    <col min="2" max="2" width="13.375" style="26" customWidth="1"/>
    <col min="3" max="3" width="12.875" style="26" customWidth="1"/>
    <col min="4" max="8" width="11" style="26"/>
    <col min="9" max="9" width="12.375" style="26" customWidth="1"/>
    <col min="10" max="16384" width="11" style="26"/>
  </cols>
  <sheetData>
    <row r="2" spans="2:13">
      <c r="D2" s="221"/>
      <c r="E2" s="221"/>
      <c r="F2" s="222" t="s">
        <v>90</v>
      </c>
      <c r="G2" s="222"/>
      <c r="H2" s="222"/>
      <c r="I2" s="222"/>
      <c r="J2" s="221"/>
      <c r="K2" s="221"/>
      <c r="L2" s="221"/>
    </row>
    <row r="3" spans="2:13">
      <c r="D3" s="221"/>
      <c r="E3" s="221"/>
      <c r="F3" s="223" t="s">
        <v>111</v>
      </c>
      <c r="G3" s="223"/>
      <c r="H3" s="223"/>
      <c r="I3" s="223"/>
      <c r="J3" s="221"/>
      <c r="K3" s="221"/>
      <c r="L3" s="221"/>
    </row>
    <row r="4" spans="2:13">
      <c r="D4" s="224" t="s">
        <v>114</v>
      </c>
      <c r="E4" s="224"/>
      <c r="F4" s="224"/>
      <c r="G4" s="224"/>
      <c r="H4" s="224"/>
      <c r="I4" s="224"/>
      <c r="J4" s="224"/>
      <c r="K4" s="224"/>
      <c r="L4" s="224"/>
    </row>
    <row r="7" spans="2:13" ht="17.25">
      <c r="B7" s="225" t="s">
        <v>112</v>
      </c>
      <c r="C7" s="226"/>
      <c r="D7" s="230">
        <v>1</v>
      </c>
      <c r="E7" s="230">
        <v>2</v>
      </c>
      <c r="F7" s="230">
        <v>3</v>
      </c>
      <c r="G7" s="230">
        <v>4</v>
      </c>
      <c r="H7" s="162" t="s">
        <v>113</v>
      </c>
      <c r="I7" s="163"/>
      <c r="J7" s="27">
        <v>1</v>
      </c>
      <c r="K7" s="199">
        <v>2</v>
      </c>
      <c r="L7" s="199">
        <v>3</v>
      </c>
      <c r="M7" s="199">
        <v>4</v>
      </c>
    </row>
    <row r="8" spans="2:13" ht="17.25">
      <c r="B8" s="216" t="s">
        <v>115</v>
      </c>
      <c r="C8" s="216"/>
      <c r="D8" s="230"/>
      <c r="E8" s="230"/>
      <c r="F8" s="230"/>
      <c r="G8" s="230"/>
      <c r="H8" s="162" t="s">
        <v>120</v>
      </c>
      <c r="I8" s="163"/>
      <c r="J8" s="27"/>
      <c r="K8" s="199"/>
      <c r="L8" s="199"/>
      <c r="M8" s="199"/>
    </row>
    <row r="9" spans="2:13" ht="17.25">
      <c r="B9" s="216" t="s">
        <v>159</v>
      </c>
      <c r="C9" s="216"/>
      <c r="D9" s="230"/>
      <c r="E9" s="231">
        <f>'HOJA DE TRABAJO'!T9</f>
        <v>4130</v>
      </c>
      <c r="F9" s="230"/>
      <c r="G9" s="230"/>
      <c r="H9" s="162" t="s">
        <v>161</v>
      </c>
      <c r="I9" s="163"/>
      <c r="J9" s="27"/>
      <c r="K9" s="199">
        <f>'HOJA DE TRABAJO'!U14</f>
        <v>9923</v>
      </c>
      <c r="L9" s="199"/>
      <c r="M9" s="199"/>
    </row>
    <row r="10" spans="2:13" ht="17.25">
      <c r="B10" s="216" t="s">
        <v>4</v>
      </c>
      <c r="C10" s="216"/>
      <c r="D10" s="230"/>
      <c r="E10" s="232">
        <f>'HOJA DE TRABAJO'!T10</f>
        <v>90671</v>
      </c>
      <c r="F10" s="230"/>
      <c r="G10" s="230"/>
      <c r="H10" s="162" t="s">
        <v>227</v>
      </c>
      <c r="I10" s="163"/>
      <c r="J10" s="27"/>
      <c r="K10" s="201">
        <f>'HOJA DE TRABAJO'!U19</f>
        <v>1939</v>
      </c>
      <c r="L10" s="199"/>
      <c r="M10" s="199"/>
    </row>
    <row r="11" spans="2:13" ht="17.25">
      <c r="B11" s="216" t="s">
        <v>5</v>
      </c>
      <c r="C11" s="216"/>
      <c r="D11" s="230"/>
      <c r="E11" s="232">
        <f>'HOJA DE TRABAJO'!T11</f>
        <v>4806</v>
      </c>
      <c r="F11" s="230"/>
      <c r="G11" s="230"/>
      <c r="H11" s="162" t="s">
        <v>204</v>
      </c>
      <c r="I11" s="163"/>
      <c r="J11" s="27"/>
      <c r="K11" s="200">
        <f>'HOJA DE TRABAJO'!U23</f>
        <v>5100</v>
      </c>
      <c r="L11" s="199"/>
      <c r="M11" s="199"/>
    </row>
    <row r="12" spans="2:13" ht="17.25">
      <c r="B12" s="216" t="s">
        <v>167</v>
      </c>
      <c r="C12" s="216"/>
      <c r="D12" s="232">
        <f>'HOJA DE TRABAJO'!T20</f>
        <v>16243</v>
      </c>
      <c r="E12" s="232">
        <f>D12-D13</f>
        <v>15899</v>
      </c>
      <c r="F12" s="230"/>
      <c r="G12" s="230"/>
      <c r="H12" s="162"/>
      <c r="I12" s="163"/>
      <c r="J12" s="27"/>
      <c r="K12" s="199"/>
      <c r="L12" s="199"/>
      <c r="M12" s="199"/>
    </row>
    <row r="13" spans="2:13" ht="17.25">
      <c r="B13" s="216" t="s">
        <v>224</v>
      </c>
      <c r="C13" s="216"/>
      <c r="D13" s="230">
        <f>'HOJA DE TRABAJO'!U37</f>
        <v>344</v>
      </c>
      <c r="E13" s="230"/>
      <c r="F13" s="230"/>
      <c r="G13" s="230"/>
      <c r="H13" s="162"/>
      <c r="I13" s="163"/>
      <c r="J13" s="27"/>
      <c r="K13" s="199"/>
      <c r="L13" s="199"/>
      <c r="M13" s="199"/>
    </row>
    <row r="14" spans="2:13" ht="17.25">
      <c r="B14" s="216" t="s">
        <v>201</v>
      </c>
      <c r="C14" s="216"/>
      <c r="D14" s="230"/>
      <c r="E14" s="232">
        <f>'HOJA DE TRABAJO'!T16</f>
        <v>1478</v>
      </c>
      <c r="F14" s="230"/>
      <c r="G14" s="230"/>
      <c r="H14" s="162"/>
      <c r="I14" s="163"/>
      <c r="J14" s="27"/>
      <c r="K14" s="199"/>
      <c r="L14" s="199"/>
      <c r="M14" s="199"/>
    </row>
    <row r="15" spans="2:13" ht="17.25">
      <c r="B15" s="225" t="s">
        <v>239</v>
      </c>
      <c r="C15" s="226"/>
      <c r="D15" s="230"/>
      <c r="E15" s="232">
        <f>G39</f>
        <v>10500</v>
      </c>
      <c r="F15" s="230"/>
      <c r="G15" s="230"/>
      <c r="H15" s="233"/>
      <c r="I15" s="234"/>
      <c r="J15" s="27"/>
      <c r="K15" s="199"/>
      <c r="L15" s="199"/>
      <c r="M15" s="199"/>
    </row>
    <row r="16" spans="2:13" ht="17.25">
      <c r="B16" s="225" t="s">
        <v>218</v>
      </c>
      <c r="C16" s="226"/>
      <c r="D16" s="230"/>
      <c r="E16" s="232">
        <f>'HOJA DE TRABAJO'!T43</f>
        <v>704</v>
      </c>
      <c r="F16" s="230"/>
      <c r="G16" s="230"/>
      <c r="H16" s="233"/>
      <c r="I16" s="234"/>
      <c r="J16" s="27"/>
      <c r="K16" s="199"/>
      <c r="L16" s="199"/>
      <c r="M16" s="199"/>
    </row>
    <row r="17" spans="2:13" ht="17.25">
      <c r="B17" s="216" t="s">
        <v>217</v>
      </c>
      <c r="C17" s="216"/>
      <c r="D17" s="230"/>
      <c r="E17" s="231">
        <f>'HOJA DE TRABAJO'!T42</f>
        <v>3330</v>
      </c>
      <c r="F17" s="230"/>
      <c r="G17" s="230"/>
      <c r="H17" s="162"/>
      <c r="I17" s="163"/>
      <c r="J17" s="27"/>
      <c r="K17" s="199"/>
      <c r="L17" s="199"/>
      <c r="M17" s="199"/>
    </row>
    <row r="18" spans="2:13" ht="17.25">
      <c r="B18" s="225" t="s">
        <v>116</v>
      </c>
      <c r="C18" s="226"/>
      <c r="D18" s="230"/>
      <c r="E18" s="230"/>
      <c r="F18" s="231">
        <f>SUM(E9:E17)</f>
        <v>131518</v>
      </c>
      <c r="G18" s="230"/>
      <c r="H18" s="162" t="s">
        <v>121</v>
      </c>
      <c r="I18" s="163"/>
      <c r="J18" s="27"/>
      <c r="K18" s="199"/>
      <c r="L18" s="201">
        <f>K9+K10+K11</f>
        <v>16962</v>
      </c>
      <c r="M18" s="199"/>
    </row>
    <row r="19" spans="2:13" ht="17.25">
      <c r="B19" s="216" t="s">
        <v>117</v>
      </c>
      <c r="C19" s="216"/>
      <c r="D19" s="230"/>
      <c r="E19" s="230"/>
      <c r="F19" s="230"/>
      <c r="G19" s="230"/>
      <c r="H19" s="162" t="s">
        <v>122</v>
      </c>
      <c r="I19" s="163"/>
      <c r="J19" s="27"/>
      <c r="K19" s="199"/>
      <c r="L19" s="199"/>
      <c r="M19" s="199"/>
    </row>
    <row r="20" spans="2:13" ht="17.25">
      <c r="B20" s="216" t="s">
        <v>9</v>
      </c>
      <c r="C20" s="216"/>
      <c r="D20" s="231">
        <f>'HOJA DE TRABAJO'!T12</f>
        <v>20000</v>
      </c>
      <c r="E20" s="231">
        <f>D20-D21</f>
        <v>14000</v>
      </c>
      <c r="F20" s="230"/>
      <c r="G20" s="230"/>
      <c r="H20" s="162" t="s">
        <v>123</v>
      </c>
      <c r="I20" s="163"/>
      <c r="J20" s="27"/>
      <c r="K20" s="199"/>
      <c r="L20" s="199"/>
      <c r="M20" s="199"/>
    </row>
    <row r="21" spans="2:13" ht="17.25">
      <c r="B21" s="216" t="s">
        <v>225</v>
      </c>
      <c r="C21" s="216"/>
      <c r="D21" s="230">
        <f>'HOJA DE TRABAJO'!U38</f>
        <v>6000</v>
      </c>
      <c r="E21" s="230"/>
      <c r="F21" s="230"/>
      <c r="G21" s="230"/>
      <c r="H21" s="162" t="s">
        <v>124</v>
      </c>
      <c r="I21" s="163"/>
      <c r="J21" s="27"/>
      <c r="K21" s="199"/>
      <c r="L21" s="199"/>
      <c r="M21" s="199"/>
    </row>
    <row r="22" spans="2:13" ht="17.25">
      <c r="B22" s="216" t="s">
        <v>207</v>
      </c>
      <c r="C22" s="216"/>
      <c r="D22" s="231">
        <f>'HOJA DE TRABAJO'!T22</f>
        <v>5000</v>
      </c>
      <c r="E22" s="231">
        <f>D22-D23</f>
        <v>4500</v>
      </c>
      <c r="F22" s="230"/>
      <c r="G22" s="230"/>
      <c r="H22" s="162" t="s">
        <v>122</v>
      </c>
      <c r="I22" s="163"/>
      <c r="J22" s="27"/>
      <c r="K22" s="200">
        <f>'HOJA DE TRABAJO'!U13</f>
        <v>127000</v>
      </c>
      <c r="L22" s="199"/>
      <c r="M22" s="199"/>
    </row>
    <row r="23" spans="2:13" ht="17.25">
      <c r="B23" s="216" t="s">
        <v>226</v>
      </c>
      <c r="C23" s="216"/>
      <c r="D23" s="230">
        <f>'HOJA DE TRABAJO'!U39</f>
        <v>500</v>
      </c>
      <c r="E23" s="230"/>
      <c r="F23" s="230"/>
      <c r="G23" s="230"/>
      <c r="H23" s="162" t="s">
        <v>125</v>
      </c>
      <c r="I23" s="163"/>
      <c r="J23" s="27"/>
      <c r="K23" s="201">
        <f>'HOJA DE TRABAJO'!U44</f>
        <v>6056</v>
      </c>
      <c r="L23" s="201">
        <f>K22+K23</f>
        <v>133056</v>
      </c>
      <c r="M23" s="199"/>
    </row>
    <row r="24" spans="2:13" ht="17.25">
      <c r="B24" s="225"/>
      <c r="C24" s="226"/>
      <c r="D24" s="230"/>
      <c r="E24" s="231"/>
      <c r="F24" s="230"/>
      <c r="G24" s="230"/>
      <c r="H24" s="233"/>
      <c r="I24" s="234"/>
      <c r="J24" s="27"/>
      <c r="K24" s="236"/>
      <c r="L24" s="237"/>
      <c r="M24" s="199"/>
    </row>
    <row r="25" spans="2:13" ht="17.25">
      <c r="B25" s="225" t="s">
        <v>118</v>
      </c>
      <c r="C25" s="226"/>
      <c r="D25" s="230"/>
      <c r="E25" s="230"/>
      <c r="F25" s="231">
        <f>SUM(E20:E24)</f>
        <v>18500</v>
      </c>
      <c r="G25" s="230"/>
      <c r="H25" s="162"/>
      <c r="I25" s="163"/>
      <c r="J25" s="27"/>
      <c r="K25" s="170" t="s">
        <v>126</v>
      </c>
      <c r="L25" s="172"/>
      <c r="M25" s="199"/>
    </row>
    <row r="26" spans="2:13" ht="17.25">
      <c r="B26" s="225" t="s">
        <v>119</v>
      </c>
      <c r="C26" s="226"/>
      <c r="D26" s="230"/>
      <c r="E26" s="230"/>
      <c r="F26" s="230"/>
      <c r="G26" s="249">
        <f>F18+F25</f>
        <v>150018</v>
      </c>
      <c r="H26" s="162"/>
      <c r="I26" s="163"/>
      <c r="J26" s="27"/>
      <c r="K26" s="199"/>
      <c r="L26" s="199"/>
      <c r="M26" s="250">
        <f>L23+L18</f>
        <v>150018</v>
      </c>
    </row>
    <row r="28" spans="2:13" ht="17.25" thickBot="1">
      <c r="J28" s="37"/>
    </row>
    <row r="29" spans="2:13">
      <c r="F29" s="238" t="s">
        <v>127</v>
      </c>
      <c r="G29" s="239"/>
      <c r="H29" s="240"/>
    </row>
    <row r="30" spans="2:13" ht="17.25" thickBot="1">
      <c r="F30" s="241"/>
      <c r="G30" s="242"/>
      <c r="H30" s="243"/>
    </row>
    <row r="32" spans="2:13">
      <c r="D32" s="244" t="s">
        <v>128</v>
      </c>
      <c r="E32" s="244"/>
      <c r="F32" s="244"/>
      <c r="G32" s="244"/>
      <c r="H32" s="244"/>
      <c r="I32" s="244"/>
      <c r="J32" s="244"/>
      <c r="K32" s="244"/>
    </row>
    <row r="35" spans="3:10">
      <c r="C35" s="245" t="s">
        <v>129</v>
      </c>
      <c r="D35" s="245" t="s">
        <v>130</v>
      </c>
      <c r="E35" s="245"/>
    </row>
    <row r="36" spans="3:10">
      <c r="C36" s="245" t="s">
        <v>239</v>
      </c>
      <c r="D36" s="245"/>
      <c r="E36" s="245"/>
    </row>
    <row r="37" spans="3:10">
      <c r="C37" s="245" t="s">
        <v>240</v>
      </c>
      <c r="D37" s="245"/>
      <c r="E37" s="245"/>
      <c r="G37" s="246">
        <f>'HOJA DE TRABAJO'!P21</f>
        <v>10000</v>
      </c>
    </row>
    <row r="38" spans="3:10">
      <c r="C38" s="245" t="s">
        <v>228</v>
      </c>
      <c r="D38" s="245"/>
      <c r="E38" s="245"/>
      <c r="G38" s="247">
        <f>'BALANZA COMPARATIVA'!G30</f>
        <v>500</v>
      </c>
    </row>
    <row r="39" spans="3:10">
      <c r="G39" s="248">
        <f>G37+G38</f>
        <v>10500</v>
      </c>
    </row>
    <row r="45" spans="3:10">
      <c r="C45" s="41"/>
      <c r="D45" s="41"/>
      <c r="E45" s="41"/>
      <c r="F45" s="41"/>
      <c r="G45" s="41"/>
      <c r="H45" s="41"/>
      <c r="I45" s="41"/>
      <c r="J45" s="41"/>
    </row>
    <row r="46" spans="3:10">
      <c r="C46" s="51"/>
      <c r="D46" s="51"/>
      <c r="E46" s="41"/>
      <c r="F46" s="51"/>
      <c r="G46" s="51"/>
      <c r="H46" s="41"/>
      <c r="I46" s="51"/>
      <c r="J46" s="51"/>
    </row>
    <row r="47" spans="3:10">
      <c r="C47" s="41"/>
      <c r="D47" s="41"/>
      <c r="E47" s="41"/>
      <c r="F47" s="41"/>
      <c r="G47" s="41"/>
      <c r="H47" s="41"/>
      <c r="I47" s="41"/>
      <c r="J47" s="41"/>
    </row>
    <row r="48" spans="3:10">
      <c r="C48" s="41"/>
      <c r="D48" s="41"/>
      <c r="E48" s="41"/>
      <c r="F48" s="41"/>
      <c r="G48" s="41"/>
      <c r="H48" s="41"/>
      <c r="I48" s="41"/>
      <c r="J48" s="41"/>
    </row>
    <row r="49" spans="3:10">
      <c r="C49" s="41"/>
      <c r="D49" s="41"/>
      <c r="E49" s="41"/>
      <c r="F49" s="41"/>
      <c r="G49" s="41"/>
      <c r="H49" s="41"/>
      <c r="I49" s="41"/>
      <c r="J49" s="41"/>
    </row>
    <row r="50" spans="3:10">
      <c r="C50" s="41"/>
      <c r="D50" s="41"/>
      <c r="E50" s="41"/>
      <c r="F50" s="41"/>
      <c r="G50" s="41"/>
      <c r="H50" s="41"/>
      <c r="I50" s="41"/>
      <c r="J50" s="41"/>
    </row>
    <row r="51" spans="3:10">
      <c r="C51" s="41"/>
      <c r="D51" s="41"/>
      <c r="E51" s="41"/>
      <c r="F51" s="41"/>
      <c r="G51" s="41"/>
      <c r="H51" s="41"/>
      <c r="I51" s="41"/>
      <c r="J51" s="41"/>
    </row>
    <row r="52" spans="3:10">
      <c r="C52" s="41"/>
      <c r="D52" s="41"/>
      <c r="E52" s="41"/>
      <c r="F52" s="41"/>
      <c r="G52" s="41"/>
      <c r="H52" s="41"/>
      <c r="I52" s="41"/>
      <c r="J52" s="41"/>
    </row>
  </sheetData>
  <mergeCells count="46">
    <mergeCell ref="H25:I25"/>
    <mergeCell ref="K25:L25"/>
    <mergeCell ref="F29:H30"/>
    <mergeCell ref="D32:K32"/>
    <mergeCell ref="I46:J46"/>
    <mergeCell ref="F46:G46"/>
    <mergeCell ref="C46:D46"/>
    <mergeCell ref="H26:I26"/>
    <mergeCell ref="B26:C26"/>
    <mergeCell ref="B25:C25"/>
    <mergeCell ref="H21:I21"/>
    <mergeCell ref="H22:I22"/>
    <mergeCell ref="H20:I20"/>
    <mergeCell ref="H23:I23"/>
    <mergeCell ref="H11:I11"/>
    <mergeCell ref="H12:I12"/>
    <mergeCell ref="H13:I13"/>
    <mergeCell ref="H14:I14"/>
    <mergeCell ref="H18:I18"/>
    <mergeCell ref="H17:I17"/>
    <mergeCell ref="H19:I19"/>
    <mergeCell ref="F2:I2"/>
    <mergeCell ref="F3:I3"/>
    <mergeCell ref="D4:L4"/>
    <mergeCell ref="B9:C9"/>
    <mergeCell ref="B10:C10"/>
    <mergeCell ref="B8:C8"/>
    <mergeCell ref="B7:C7"/>
    <mergeCell ref="H7:I7"/>
    <mergeCell ref="H8:I8"/>
    <mergeCell ref="H9:I9"/>
    <mergeCell ref="H10:I10"/>
    <mergeCell ref="B24:C24"/>
    <mergeCell ref="B11:C11"/>
    <mergeCell ref="B19:C19"/>
    <mergeCell ref="B18:C18"/>
    <mergeCell ref="B12:C12"/>
    <mergeCell ref="B13:C13"/>
    <mergeCell ref="B14:C14"/>
    <mergeCell ref="B17:C17"/>
    <mergeCell ref="B23:C23"/>
    <mergeCell ref="B21:C21"/>
    <mergeCell ref="B22:C22"/>
    <mergeCell ref="B20:C20"/>
    <mergeCell ref="B16:C16"/>
    <mergeCell ref="B15:C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J34"/>
  <sheetViews>
    <sheetView workbookViewId="0">
      <selection activeCell="E1" sqref="E1"/>
    </sheetView>
  </sheetViews>
  <sheetFormatPr baseColWidth="10" defaultRowHeight="16.5"/>
  <cols>
    <col min="1" max="1" width="11" style="26"/>
    <col min="2" max="2" width="11.875" style="26" customWidth="1"/>
    <col min="3" max="3" width="11" style="26"/>
    <col min="4" max="4" width="28.5" style="26" customWidth="1"/>
    <col min="5" max="5" width="11" style="26"/>
    <col min="6" max="6" width="11.875" style="26" customWidth="1"/>
    <col min="7" max="16384" width="11" style="26"/>
  </cols>
  <sheetData>
    <row r="2" spans="2:10">
      <c r="E2" s="47" t="s">
        <v>90</v>
      </c>
      <c r="F2" s="47"/>
      <c r="G2" s="47"/>
      <c r="H2" s="47"/>
    </row>
    <row r="3" spans="2:10">
      <c r="E3" s="42" t="s">
        <v>133</v>
      </c>
      <c r="F3" s="42"/>
      <c r="G3" s="42"/>
      <c r="H3" s="42"/>
    </row>
    <row r="4" spans="2:10">
      <c r="D4" s="47" t="s">
        <v>114</v>
      </c>
      <c r="E4" s="47"/>
      <c r="F4" s="47"/>
      <c r="G4" s="47"/>
      <c r="H4" s="47"/>
      <c r="I4" s="47"/>
      <c r="J4" s="47"/>
    </row>
    <row r="7" spans="2:10">
      <c r="B7" s="34"/>
      <c r="C7" s="48"/>
      <c r="D7" s="50"/>
      <c r="E7" s="46" t="s">
        <v>97</v>
      </c>
      <c r="F7" s="46"/>
      <c r="G7" s="46" t="s">
        <v>109</v>
      </c>
      <c r="H7" s="46"/>
    </row>
    <row r="8" spans="2:10">
      <c r="B8" s="34" t="s">
        <v>92</v>
      </c>
      <c r="C8" s="46" t="s">
        <v>134</v>
      </c>
      <c r="D8" s="46"/>
      <c r="E8" s="34" t="s">
        <v>95</v>
      </c>
      <c r="F8" s="34" t="s">
        <v>96</v>
      </c>
      <c r="G8" s="34" t="s">
        <v>135</v>
      </c>
      <c r="H8" s="34" t="s">
        <v>96</v>
      </c>
    </row>
    <row r="9" spans="2:10">
      <c r="B9" s="34"/>
      <c r="C9" s="48" t="str">
        <f>'HOJA DE TRABAJO'!B9</f>
        <v>CAJA</v>
      </c>
      <c r="D9" s="50"/>
      <c r="E9" s="35">
        <f>'HOJA DE TRABAJO'!I9</f>
        <v>4228</v>
      </c>
      <c r="F9" s="34"/>
      <c r="G9" s="35">
        <f>'HOJA DE TRABAJO'!P9</f>
        <v>4130</v>
      </c>
      <c r="H9" s="34"/>
    </row>
    <row r="10" spans="2:10">
      <c r="B10" s="34"/>
      <c r="C10" s="48" t="str">
        <f>'HOJA DE TRABAJO'!B10</f>
        <v>BANCOS</v>
      </c>
      <c r="D10" s="50"/>
      <c r="E10" s="35">
        <f>'HOJA DE TRABAJO'!I10</f>
        <v>92833</v>
      </c>
      <c r="F10" s="34"/>
      <c r="G10" s="35">
        <f>'HOJA DE TRABAJO'!P10</f>
        <v>90671</v>
      </c>
      <c r="H10" s="34"/>
    </row>
    <row r="11" spans="2:10">
      <c r="B11" s="34"/>
      <c r="C11" s="48" t="str">
        <f>'HOJA DE TRABAJO'!B11</f>
        <v>ALMACEN</v>
      </c>
      <c r="D11" s="50"/>
      <c r="E11" s="35">
        <f>'HOJA DE TRABAJO'!I11</f>
        <v>4505</v>
      </c>
      <c r="F11" s="34"/>
      <c r="G11" s="35">
        <f>'HOJA DE TRABAJO'!P11</f>
        <v>4806</v>
      </c>
      <c r="H11" s="34"/>
    </row>
    <row r="12" spans="2:10">
      <c r="B12" s="34"/>
      <c r="C12" s="48" t="str">
        <f>'HOJA DE TRABAJO'!B12</f>
        <v>EQUIPO DE COMPUTO</v>
      </c>
      <c r="D12" s="50"/>
      <c r="E12" s="35">
        <f>'HOJA DE TRABAJO'!I12</f>
        <v>20000</v>
      </c>
      <c r="F12" s="34"/>
      <c r="G12" s="35">
        <f>'HOJA DE TRABAJO'!P12</f>
        <v>20000</v>
      </c>
      <c r="H12" s="34"/>
    </row>
    <row r="13" spans="2:10">
      <c r="B13" s="34"/>
      <c r="C13" s="48" t="str">
        <f>'HOJA DE TRABAJO'!B13</f>
        <v>CAPITAL</v>
      </c>
      <c r="D13" s="50"/>
      <c r="E13" s="34"/>
      <c r="F13" s="35">
        <f>'HOJA DE TRABAJO'!J13</f>
        <v>127000</v>
      </c>
      <c r="G13" s="34"/>
      <c r="H13" s="35">
        <f>'HOJA DE TRABAJO'!Q13</f>
        <v>127000</v>
      </c>
    </row>
    <row r="14" spans="2:10">
      <c r="B14" s="34"/>
      <c r="C14" s="48" t="str">
        <f>'HOJA DE TRABAJO'!B14</f>
        <v>PROVEEDORES</v>
      </c>
      <c r="D14" s="50"/>
      <c r="E14" s="34"/>
      <c r="F14" s="35">
        <f>'HOJA DE TRABAJO'!J14</f>
        <v>9923</v>
      </c>
      <c r="G14" s="34"/>
      <c r="H14" s="35">
        <f>'HOJA DE TRABAJO'!Q14</f>
        <v>9923</v>
      </c>
    </row>
    <row r="15" spans="2:10">
      <c r="B15" s="34"/>
      <c r="C15" s="48" t="str">
        <f>'HOJA DE TRABAJO'!B15</f>
        <v>IVA ACREDITADO</v>
      </c>
      <c r="D15" s="50"/>
      <c r="E15" s="35">
        <f>'HOJA DE TRABAJO'!I15</f>
        <v>1937</v>
      </c>
      <c r="F15" s="34"/>
      <c r="G15" s="34"/>
      <c r="H15" s="36"/>
    </row>
    <row r="16" spans="2:10">
      <c r="B16" s="34"/>
      <c r="C16" s="48" t="str">
        <f>'HOJA DE TRABAJO'!B16</f>
        <v>IVA PEND. ACREDITAR</v>
      </c>
      <c r="D16" s="50"/>
      <c r="E16" s="35">
        <f>'HOJA DE TRABAJO'!I16</f>
        <v>1478</v>
      </c>
      <c r="F16" s="34"/>
      <c r="G16" s="36">
        <f>'HOJA DE TRABAJO'!P16</f>
        <v>1478</v>
      </c>
      <c r="H16" s="34"/>
    </row>
    <row r="17" spans="2:8">
      <c r="B17" s="34"/>
      <c r="C17" s="48" t="str">
        <f>'HOJA DE TRABAJO'!B17</f>
        <v>VENTAS</v>
      </c>
      <c r="D17" s="50"/>
      <c r="E17" s="34"/>
      <c r="F17" s="35">
        <f>'HOJA DE TRABAJO'!J17</f>
        <v>28640</v>
      </c>
      <c r="G17" s="36"/>
      <c r="H17" s="35">
        <f>'HOJA DE TRABAJO'!Q17</f>
        <v>27790</v>
      </c>
    </row>
    <row r="18" spans="2:8">
      <c r="B18" s="34"/>
      <c r="C18" s="48" t="str">
        <f>'HOJA DE TRABAJO'!B18</f>
        <v>IVA TRASLADADO</v>
      </c>
      <c r="D18" s="50"/>
      <c r="E18" s="34"/>
      <c r="F18" s="35">
        <f>'HOJA DE TRABAJO'!J18</f>
        <v>1447</v>
      </c>
      <c r="G18" s="36"/>
      <c r="H18" s="34"/>
    </row>
    <row r="19" spans="2:8">
      <c r="B19" s="34"/>
      <c r="C19" s="48" t="str">
        <f>'HOJA DE TRABAJO'!B19</f>
        <v>IVA PEND. TRASLADAR</v>
      </c>
      <c r="D19" s="50"/>
      <c r="E19" s="34"/>
      <c r="F19" s="35">
        <f>'HOJA DE TRABAJO'!J19</f>
        <v>1703</v>
      </c>
      <c r="G19" s="36"/>
      <c r="H19" s="35">
        <f>'HOJA DE TRABAJO'!Q19</f>
        <v>1939</v>
      </c>
    </row>
    <row r="20" spans="2:8">
      <c r="B20" s="34"/>
      <c r="C20" s="48" t="str">
        <f>'HOJA DE TRABAJO'!B20</f>
        <v>CLIENTES</v>
      </c>
      <c r="D20" s="50"/>
      <c r="E20" s="35">
        <f>'HOJA DE TRABAJO'!I20</f>
        <v>17187.239999999998</v>
      </c>
      <c r="F20" s="34"/>
      <c r="G20" s="36">
        <f>'HOJA DE TRABAJO'!P20</f>
        <v>16243</v>
      </c>
      <c r="H20" s="34"/>
    </row>
    <row r="21" spans="2:8">
      <c r="B21" s="34"/>
      <c r="C21" s="48" t="str">
        <f>'HOJA DE TRABAJO'!B21</f>
        <v>RENTAS PAG. X ANTICIPADO</v>
      </c>
      <c r="D21" s="50"/>
      <c r="E21" s="35">
        <f>'HOJA DE TRABAJO'!I21</f>
        <v>12000</v>
      </c>
      <c r="F21" s="34"/>
      <c r="G21" s="35">
        <f>'HOJA DE TRABAJO'!P21</f>
        <v>10000</v>
      </c>
      <c r="H21" s="34"/>
    </row>
    <row r="22" spans="2:8">
      <c r="B22" s="34"/>
      <c r="C22" s="48" t="str">
        <f>'HOJA DE TRABAJO'!B22</f>
        <v>GASTOS DE INSTALACION</v>
      </c>
      <c r="D22" s="50"/>
      <c r="E22" s="35">
        <f>'HOJA DE TRABAJO'!I22</f>
        <v>5000</v>
      </c>
      <c r="F22" s="34"/>
      <c r="G22" s="35">
        <f>'HOJA DE TRABAJO'!P22</f>
        <v>5000</v>
      </c>
      <c r="H22" s="34"/>
    </row>
    <row r="23" spans="2:8">
      <c r="B23" s="34"/>
      <c r="C23" s="48" t="str">
        <f>'HOJA DE TRABAJO'!B23</f>
        <v>ACREEDORES DIVERSOS</v>
      </c>
      <c r="D23" s="50"/>
      <c r="E23" s="34"/>
      <c r="F23" s="35">
        <f>'HOJA DE TRABAJO'!J23</f>
        <v>5000</v>
      </c>
      <c r="G23" s="34"/>
      <c r="H23" s="35">
        <f>'HOJA DE TRABAJO'!Q23</f>
        <v>5100</v>
      </c>
    </row>
    <row r="24" spans="2:8">
      <c r="B24" s="34"/>
      <c r="C24" s="48" t="str">
        <f>'HOJA DE TRABAJO'!B24</f>
        <v>GASTOS DE ADMINISTRACION</v>
      </c>
      <c r="D24" s="50"/>
      <c r="E24" s="35">
        <f>'HOJA DE TRABAJO'!I24</f>
        <v>2500</v>
      </c>
      <c r="F24" s="34"/>
      <c r="G24" s="35">
        <f>'HOJA DE TRABAJO'!P24</f>
        <v>7946</v>
      </c>
      <c r="H24" s="34"/>
    </row>
    <row r="25" spans="2:8">
      <c r="B25" s="34"/>
      <c r="C25" s="48" t="s">
        <v>205</v>
      </c>
      <c r="D25" s="50"/>
      <c r="E25" s="34">
        <f>'HOJA DE TRABAJO'!I31</f>
        <v>2500</v>
      </c>
      <c r="F25" s="34"/>
      <c r="G25" s="36">
        <f>'HOJA DE TRABAJO'!P31</f>
        <v>7544</v>
      </c>
      <c r="H25" s="34"/>
    </row>
    <row r="26" spans="2:8">
      <c r="B26" s="27"/>
      <c r="C26" s="48" t="s">
        <v>173</v>
      </c>
      <c r="D26" s="50"/>
      <c r="E26" s="28">
        <f>'HOJA DE TRABAJO'!I36</f>
        <v>9545</v>
      </c>
      <c r="F26" s="27"/>
      <c r="G26" s="29">
        <f>'HOJA DE TRABAJO'!P36</f>
        <v>9244</v>
      </c>
      <c r="H26" s="27"/>
    </row>
    <row r="27" spans="2:8">
      <c r="B27" s="27"/>
      <c r="C27" s="48" t="str">
        <f>'HOJA DE TRABAJO'!B37</f>
        <v>ESTIMACION DE COBRO D. CLIENTES</v>
      </c>
      <c r="D27" s="50"/>
      <c r="E27" s="27"/>
      <c r="F27" s="27"/>
      <c r="G27" s="27"/>
      <c r="H27" s="27">
        <f>'HOJA DE TRABAJO'!Q37</f>
        <v>344</v>
      </c>
    </row>
    <row r="28" spans="2:8">
      <c r="B28" s="27"/>
      <c r="C28" s="48" t="str">
        <f>'HOJA DE TRABAJO'!B38</f>
        <v>DEP. ACUMULADA DE EQ. DE COMPUTO</v>
      </c>
      <c r="D28" s="50"/>
      <c r="E28" s="27"/>
      <c r="F28" s="27"/>
      <c r="G28" s="27"/>
      <c r="H28" s="27">
        <f>'HOJA DE TRABAJO'!Q38</f>
        <v>6000</v>
      </c>
    </row>
    <row r="29" spans="2:8">
      <c r="B29" s="27"/>
      <c r="C29" s="48" t="str">
        <f>'HOJA DE TRABAJO'!B39</f>
        <v>AMORTIZACION ACUM. DE GSTOS INST.</v>
      </c>
      <c r="D29" s="50"/>
      <c r="E29" s="27"/>
      <c r="F29" s="27"/>
      <c r="G29" s="27"/>
      <c r="H29" s="27">
        <f>'HOJA DE TRABAJO'!Q39</f>
        <v>500</v>
      </c>
    </row>
    <row r="30" spans="2:8">
      <c r="B30" s="27"/>
      <c r="C30" s="48" t="str">
        <f>'HOJA DE TRABAJO'!B40</f>
        <v>PAPELERIA  Y UTILES</v>
      </c>
      <c r="D30" s="50"/>
      <c r="E30" s="27"/>
      <c r="F30" s="27"/>
      <c r="G30" s="28">
        <f>'HOJA DE TRABAJO'!P40</f>
        <v>500</v>
      </c>
      <c r="H30" s="27"/>
    </row>
    <row r="31" spans="2:8">
      <c r="B31" s="27"/>
      <c r="C31" s="48" t="str">
        <f>'HOJA DE TRABAJO'!B41</f>
        <v>GASTOS Y PRODUCTOS FINANCIEROS</v>
      </c>
      <c r="D31" s="50"/>
      <c r="E31" s="27"/>
      <c r="F31" s="27"/>
      <c r="G31" s="27"/>
      <c r="H31" s="28">
        <f>'HOJA DE TRABAJO'!Q41</f>
        <v>3000</v>
      </c>
    </row>
    <row r="32" spans="2:8">
      <c r="B32" s="27"/>
      <c r="C32" s="48" t="str">
        <f>'HOJA DE TRABAJO'!B42</f>
        <v>DEUDORES DIVERSOS</v>
      </c>
      <c r="D32" s="50"/>
      <c r="E32" s="27"/>
      <c r="F32" s="27"/>
      <c r="G32" s="28">
        <f>'HOJA DE TRABAJO'!P42</f>
        <v>3330</v>
      </c>
      <c r="H32" s="27"/>
    </row>
    <row r="33" spans="2:8">
      <c r="B33" s="27"/>
      <c r="C33" s="48" t="str">
        <f>'HOJA DE TRABAJO'!B43</f>
        <v>IVA A FAVOR</v>
      </c>
      <c r="D33" s="50"/>
      <c r="E33" s="27"/>
      <c r="F33" s="27"/>
      <c r="G33" s="28">
        <f>'HOJA DE TRABAJO'!P43</f>
        <v>704</v>
      </c>
      <c r="H33" s="27"/>
    </row>
    <row r="34" spans="2:8">
      <c r="B34" s="27"/>
      <c r="C34" s="48"/>
      <c r="D34" s="50"/>
      <c r="E34" s="28">
        <f>SUM(E9:E31)</f>
        <v>173713.24</v>
      </c>
      <c r="F34" s="27">
        <f>SUM(F9:F31)</f>
        <v>173713</v>
      </c>
      <c r="G34" s="28">
        <f>SUM(G9:G33)</f>
        <v>181596</v>
      </c>
      <c r="H34" s="27">
        <f>SUM(H9:H33)</f>
        <v>181596</v>
      </c>
    </row>
  </sheetData>
  <mergeCells count="33">
    <mergeCell ref="C31:D31"/>
    <mergeCell ref="C34:D34"/>
    <mergeCell ref="C32:D32"/>
    <mergeCell ref="C33:D33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E2:H2"/>
    <mergeCell ref="E3:H3"/>
    <mergeCell ref="D4:J4"/>
    <mergeCell ref="C8:D8"/>
    <mergeCell ref="E7:F7"/>
    <mergeCell ref="G7:H7"/>
    <mergeCell ref="C7:D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C2:K45"/>
  <sheetViews>
    <sheetView topLeftCell="B25" workbookViewId="0">
      <selection activeCell="L22" sqref="L22"/>
    </sheetView>
  </sheetViews>
  <sheetFormatPr baseColWidth="10" defaultRowHeight="16.5"/>
  <cols>
    <col min="1" max="1" width="11" style="26"/>
    <col min="2" max="2" width="8.25" style="26" customWidth="1"/>
    <col min="3" max="3" width="11" style="26"/>
    <col min="4" max="4" width="13.875" style="26" customWidth="1"/>
    <col min="5" max="16384" width="11" style="26"/>
  </cols>
  <sheetData>
    <row r="2" spans="3:11">
      <c r="E2" s="144"/>
      <c r="F2" s="152" t="s">
        <v>90</v>
      </c>
      <c r="G2" s="152"/>
      <c r="H2" s="152"/>
      <c r="I2" s="152"/>
      <c r="J2" s="144"/>
      <c r="K2" s="144"/>
    </row>
    <row r="3" spans="3:11">
      <c r="E3" s="144"/>
      <c r="F3" s="153" t="s">
        <v>131</v>
      </c>
      <c r="G3" s="153"/>
      <c r="H3" s="153"/>
      <c r="I3" s="153"/>
      <c r="J3" s="144"/>
      <c r="K3" s="144"/>
    </row>
    <row r="4" spans="3:11">
      <c r="E4" s="152" t="s">
        <v>114</v>
      </c>
      <c r="F4" s="152"/>
      <c r="G4" s="152"/>
      <c r="H4" s="152"/>
      <c r="I4" s="152"/>
      <c r="J4" s="152"/>
      <c r="K4" s="152"/>
    </row>
    <row r="7" spans="3:11" ht="17.25">
      <c r="C7" s="251" t="s">
        <v>93</v>
      </c>
      <c r="D7" s="251"/>
      <c r="E7" s="173">
        <v>1</v>
      </c>
      <c r="F7" s="173">
        <v>2</v>
      </c>
      <c r="G7" s="173">
        <v>3</v>
      </c>
      <c r="H7" s="173">
        <v>4</v>
      </c>
    </row>
    <row r="8" spans="3:11" ht="17.25">
      <c r="C8" s="252" t="s">
        <v>229</v>
      </c>
      <c r="D8" s="253"/>
      <c r="E8" s="173"/>
      <c r="F8" s="174">
        <f>'HOJA DE TRABAJO'!Q17</f>
        <v>27790</v>
      </c>
      <c r="G8" s="173"/>
      <c r="H8" s="173"/>
    </row>
    <row r="9" spans="3:11" ht="17.25">
      <c r="C9" s="252" t="s">
        <v>173</v>
      </c>
      <c r="D9" s="253"/>
      <c r="E9" s="173"/>
      <c r="F9" s="175">
        <f>'HOJA DE TRABAJO'!R36</f>
        <v>9244</v>
      </c>
      <c r="G9" s="173"/>
      <c r="H9" s="173"/>
    </row>
    <row r="10" spans="3:11" ht="17.25">
      <c r="C10" s="252" t="s">
        <v>230</v>
      </c>
      <c r="D10" s="253"/>
      <c r="E10" s="173"/>
      <c r="F10" s="173"/>
      <c r="G10" s="175">
        <f>F8-F9</f>
        <v>18546</v>
      </c>
      <c r="H10" s="173"/>
    </row>
    <row r="11" spans="3:11" ht="17.25">
      <c r="C11" s="252" t="s">
        <v>231</v>
      </c>
      <c r="D11" s="253"/>
      <c r="E11" s="173"/>
      <c r="F11" s="173"/>
      <c r="G11" s="173"/>
      <c r="H11" s="173"/>
    </row>
    <row r="12" spans="3:11" ht="17.25">
      <c r="C12" s="252" t="s">
        <v>205</v>
      </c>
      <c r="D12" s="253"/>
      <c r="E12" s="175">
        <f>'HOJA DE TRABAJO'!R31</f>
        <v>7544</v>
      </c>
      <c r="F12" s="173"/>
      <c r="G12" s="173"/>
      <c r="H12" s="173"/>
    </row>
    <row r="13" spans="3:11" ht="17.25">
      <c r="C13" s="252" t="s">
        <v>232</v>
      </c>
      <c r="D13" s="253"/>
      <c r="E13" s="174">
        <f>'HOJA DE TRABAJO'!R24</f>
        <v>7946</v>
      </c>
      <c r="F13" s="175">
        <f>E12+E13</f>
        <v>15490</v>
      </c>
      <c r="G13" s="173"/>
      <c r="H13" s="173"/>
    </row>
    <row r="14" spans="3:11" ht="17.25">
      <c r="C14" s="252" t="s">
        <v>233</v>
      </c>
      <c r="D14" s="253"/>
      <c r="E14" s="173"/>
      <c r="F14" s="174">
        <f>'HOJA DE TRABAJO'!S41</f>
        <v>3000</v>
      </c>
      <c r="G14" s="175">
        <f>F13-F14</f>
        <v>12490</v>
      </c>
      <c r="H14" s="173"/>
    </row>
    <row r="15" spans="3:11" ht="17.25">
      <c r="C15" s="252" t="s">
        <v>234</v>
      </c>
      <c r="D15" s="253"/>
      <c r="E15" s="173"/>
      <c r="F15" s="173"/>
      <c r="G15" s="173"/>
      <c r="H15" s="175">
        <f>G10-G14</f>
        <v>6056</v>
      </c>
    </row>
    <row r="16" spans="3:11" ht="17.25">
      <c r="C16" s="252"/>
      <c r="D16" s="253"/>
      <c r="E16" s="173"/>
      <c r="F16" s="173"/>
      <c r="G16" s="173"/>
      <c r="H16" s="173"/>
    </row>
    <row r="17" spans="3:11" ht="17.25">
      <c r="C17" s="252"/>
      <c r="D17" s="253"/>
      <c r="E17" s="173"/>
      <c r="F17" s="173"/>
      <c r="G17" s="173"/>
      <c r="H17" s="173"/>
    </row>
    <row r="18" spans="3:11" ht="17.25">
      <c r="C18" s="252"/>
      <c r="D18" s="253"/>
      <c r="E18" s="173"/>
      <c r="F18" s="173"/>
      <c r="G18" s="173"/>
      <c r="H18" s="173"/>
    </row>
    <row r="19" spans="3:11" ht="17.25">
      <c r="C19" s="252"/>
      <c r="D19" s="253"/>
      <c r="E19" s="173"/>
      <c r="F19" s="173"/>
      <c r="G19" s="173"/>
      <c r="H19" s="173"/>
    </row>
    <row r="20" spans="3:11" ht="17.25">
      <c r="C20" s="252"/>
      <c r="D20" s="253"/>
      <c r="E20" s="173"/>
      <c r="F20" s="173"/>
      <c r="G20" s="173"/>
      <c r="H20" s="173"/>
    </row>
    <row r="21" spans="3:11" ht="17.25">
      <c r="C21" s="252"/>
      <c r="D21" s="253"/>
      <c r="E21" s="173"/>
      <c r="F21" s="173"/>
      <c r="G21" s="173"/>
      <c r="H21" s="173"/>
    </row>
    <row r="22" spans="3:11" ht="17.25">
      <c r="C22" s="252"/>
      <c r="D22" s="253"/>
      <c r="E22" s="173"/>
      <c r="F22" s="173"/>
      <c r="G22" s="173"/>
      <c r="H22" s="173"/>
    </row>
    <row r="23" spans="3:11" ht="17.25">
      <c r="C23" s="252"/>
      <c r="D23" s="253"/>
      <c r="E23" s="173"/>
      <c r="F23" s="173"/>
      <c r="G23" s="173"/>
      <c r="H23" s="173"/>
    </row>
    <row r="24" spans="3:11">
      <c r="C24" s="159"/>
      <c r="D24" s="160"/>
      <c r="E24" s="173"/>
      <c r="F24" s="173"/>
      <c r="G24" s="173"/>
      <c r="H24" s="173"/>
    </row>
    <row r="26" spans="3:11" ht="17.25" thickBot="1"/>
    <row r="27" spans="3:11">
      <c r="E27" s="254" t="s">
        <v>127</v>
      </c>
      <c r="F27" s="255"/>
      <c r="G27" s="256"/>
    </row>
    <row r="28" spans="3:11" ht="17.25" thickBot="1">
      <c r="E28" s="257"/>
      <c r="F28" s="258"/>
      <c r="G28" s="259"/>
    </row>
    <row r="30" spans="3:11">
      <c r="D30" s="260" t="s">
        <v>128</v>
      </c>
      <c r="E30" s="260"/>
      <c r="F30" s="260"/>
      <c r="G30" s="260"/>
      <c r="H30" s="260"/>
      <c r="I30" s="260"/>
      <c r="J30" s="260"/>
      <c r="K30" s="260"/>
    </row>
    <row r="32" spans="3:11">
      <c r="C32" s="261" t="s">
        <v>129</v>
      </c>
      <c r="D32" s="261">
        <v>1</v>
      </c>
      <c r="E32" s="261"/>
      <c r="F32" s="261"/>
    </row>
    <row r="33" spans="3:11">
      <c r="C33" s="261" t="s">
        <v>235</v>
      </c>
      <c r="D33" s="261"/>
      <c r="E33" s="261"/>
      <c r="F33" s="261"/>
    </row>
    <row r="34" spans="3:11">
      <c r="C34" s="261"/>
      <c r="D34" s="262" t="s">
        <v>236</v>
      </c>
      <c r="E34" s="261"/>
      <c r="F34" s="261"/>
    </row>
    <row r="35" spans="3:11">
      <c r="C35" s="261" t="s">
        <v>237</v>
      </c>
      <c r="D35" s="261"/>
      <c r="E35" s="261"/>
      <c r="F35" s="148">
        <f>'HOJA DE TRABAJO'!S41</f>
        <v>3000</v>
      </c>
    </row>
    <row r="42" spans="3:11">
      <c r="C42" s="51"/>
      <c r="D42" s="51"/>
      <c r="E42" s="41"/>
      <c r="F42" s="51"/>
      <c r="G42" s="51"/>
      <c r="H42" s="41"/>
      <c r="I42" s="51"/>
      <c r="J42" s="51"/>
      <c r="K42" s="41"/>
    </row>
    <row r="43" spans="3:11">
      <c r="C43" s="41"/>
      <c r="D43" s="41"/>
      <c r="E43" s="41"/>
      <c r="F43" s="41"/>
      <c r="G43" s="41"/>
      <c r="H43" s="41"/>
      <c r="I43" s="41"/>
      <c r="J43" s="41"/>
      <c r="K43" s="41"/>
    </row>
    <row r="44" spans="3:11">
      <c r="C44" s="41"/>
      <c r="D44" s="41"/>
      <c r="E44" s="41"/>
      <c r="F44" s="41"/>
      <c r="G44" s="41"/>
      <c r="H44" s="41"/>
      <c r="I44" s="41"/>
      <c r="J44" s="41"/>
      <c r="K44" s="41"/>
    </row>
    <row r="45" spans="3:11">
      <c r="C45" s="41"/>
      <c r="D45" s="41"/>
      <c r="E45" s="41"/>
      <c r="F45" s="41"/>
      <c r="G45" s="41"/>
      <c r="H45" s="41"/>
      <c r="I45" s="41"/>
      <c r="J45" s="41"/>
      <c r="K45" s="41"/>
    </row>
  </sheetData>
  <mergeCells count="26">
    <mergeCell ref="I42:J42"/>
    <mergeCell ref="C42:D42"/>
    <mergeCell ref="F42:G42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E27:G28"/>
    <mergeCell ref="D30:K30"/>
    <mergeCell ref="C15:D15"/>
    <mergeCell ref="F2:I2"/>
    <mergeCell ref="F3:I3"/>
    <mergeCell ref="E4:K4"/>
    <mergeCell ref="C7:D7"/>
    <mergeCell ref="C8:D8"/>
    <mergeCell ref="C9:D9"/>
    <mergeCell ref="C10:D10"/>
    <mergeCell ref="C11:D11"/>
    <mergeCell ref="C12:D12"/>
    <mergeCell ref="C13:D13"/>
    <mergeCell ref="C14:D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H63"/>
  <sheetViews>
    <sheetView topLeftCell="A70" workbookViewId="0">
      <selection activeCell="D2" sqref="D2"/>
    </sheetView>
  </sheetViews>
  <sheetFormatPr baseColWidth="10" defaultRowHeight="16.5"/>
  <cols>
    <col min="1" max="1" width="13.375" style="26" customWidth="1"/>
    <col min="2" max="2" width="11" style="26"/>
    <col min="3" max="3" width="22.75" style="26" customWidth="1"/>
    <col min="4" max="4" width="24" style="26" customWidth="1"/>
    <col min="5" max="16384" width="11" style="26"/>
  </cols>
  <sheetData>
    <row r="2" spans="1:8">
      <c r="D2" s="120" t="s">
        <v>280</v>
      </c>
    </row>
    <row r="4" spans="1:8" ht="17.25">
      <c r="A4" s="205" t="s">
        <v>277</v>
      </c>
      <c r="B4" s="32"/>
      <c r="C4" s="166" t="s">
        <v>93</v>
      </c>
      <c r="D4" s="168"/>
      <c r="E4" s="32"/>
      <c r="F4" s="266" t="s">
        <v>276</v>
      </c>
      <c r="G4" s="266" t="s">
        <v>270</v>
      </c>
      <c r="H4" s="266" t="s">
        <v>271</v>
      </c>
    </row>
    <row r="5" spans="1:8" ht="17.25">
      <c r="A5" s="263">
        <v>1</v>
      </c>
      <c r="B5" s="32"/>
      <c r="C5" s="264" t="s">
        <v>159</v>
      </c>
      <c r="D5" s="265"/>
      <c r="E5" s="32"/>
      <c r="F5" s="266"/>
      <c r="G5" s="267">
        <f>'ESQUEMA DE MAYOR'!B4</f>
        <v>5000</v>
      </c>
      <c r="H5" s="266"/>
    </row>
    <row r="6" spans="1:8" ht="17.25">
      <c r="A6" s="263"/>
      <c r="B6" s="32"/>
      <c r="C6" s="264" t="s">
        <v>4</v>
      </c>
      <c r="D6" s="265"/>
      <c r="E6" s="32"/>
      <c r="F6" s="266"/>
      <c r="G6" s="267">
        <f>'ESQUEMA DE MAYOR'!F4</f>
        <v>100000</v>
      </c>
      <c r="H6" s="266"/>
    </row>
    <row r="7" spans="1:8" ht="17.25">
      <c r="A7" s="263"/>
      <c r="B7" s="32"/>
      <c r="C7" s="264" t="s">
        <v>278</v>
      </c>
      <c r="D7" s="265"/>
      <c r="E7" s="32"/>
      <c r="F7" s="266"/>
      <c r="G7" s="267">
        <f>'ESQUEMA DE MAYOR'!N4</f>
        <v>20000</v>
      </c>
      <c r="H7" s="266"/>
    </row>
    <row r="8" spans="1:8" ht="17.25">
      <c r="A8" s="263"/>
      <c r="B8" s="32"/>
      <c r="C8" s="264" t="s">
        <v>5</v>
      </c>
      <c r="D8" s="265"/>
      <c r="E8" s="32"/>
      <c r="F8" s="266"/>
      <c r="G8" s="267">
        <f>'ESQUEMA DE MAYOR'!J4</f>
        <v>2000</v>
      </c>
      <c r="H8" s="266"/>
    </row>
    <row r="9" spans="1:8" ht="17.25">
      <c r="A9" s="263"/>
      <c r="B9" s="32"/>
      <c r="C9" s="264"/>
      <c r="D9" s="265" t="s">
        <v>122</v>
      </c>
      <c r="E9" s="32"/>
      <c r="F9" s="266"/>
      <c r="G9" s="266"/>
      <c r="H9" s="267">
        <f>'ESQUEMA DE MAYOR'!C13</f>
        <v>127000</v>
      </c>
    </row>
    <row r="10" spans="1:8" ht="17.25">
      <c r="A10" s="263"/>
      <c r="B10" s="32"/>
      <c r="C10" s="264"/>
      <c r="D10" s="265"/>
      <c r="E10" s="32"/>
      <c r="F10" s="266"/>
      <c r="G10" s="266"/>
      <c r="H10" s="266"/>
    </row>
    <row r="11" spans="1:8" ht="17.25">
      <c r="A11" s="263">
        <v>2</v>
      </c>
      <c r="B11" s="32"/>
      <c r="C11" s="207" t="s">
        <v>5</v>
      </c>
      <c r="D11" s="204"/>
      <c r="E11" s="32"/>
      <c r="F11" s="266"/>
      <c r="G11" s="267">
        <f>'ESQUEMA DE MAYOR'!J5</f>
        <v>5000</v>
      </c>
      <c r="H11" s="266"/>
    </row>
    <row r="12" spans="1:8" ht="17.25">
      <c r="A12" s="263"/>
      <c r="B12" s="32"/>
      <c r="C12" s="207" t="s">
        <v>162</v>
      </c>
      <c r="D12" s="204"/>
      <c r="E12" s="32"/>
      <c r="F12" s="266"/>
      <c r="G12" s="267">
        <f>'ESQUEMA DE MAYOR'!J13</f>
        <v>320.10000000000002</v>
      </c>
      <c r="H12" s="266"/>
    </row>
    <row r="13" spans="1:8" ht="17.25">
      <c r="A13" s="263"/>
      <c r="B13" s="32"/>
      <c r="C13" s="207" t="s">
        <v>201</v>
      </c>
      <c r="D13" s="204"/>
      <c r="E13" s="32"/>
      <c r="F13" s="266"/>
      <c r="G13" s="267">
        <f>'ESQUEMA DE MAYOR'!N13</f>
        <v>213.4</v>
      </c>
      <c r="H13" s="266"/>
    </row>
    <row r="14" spans="1:8" ht="17.25">
      <c r="A14" s="263"/>
      <c r="B14" s="32"/>
      <c r="C14" s="207"/>
      <c r="D14" s="204" t="s">
        <v>4</v>
      </c>
      <c r="E14" s="32"/>
      <c r="F14" s="266"/>
      <c r="G14" s="266"/>
      <c r="H14" s="267">
        <f>'ESQUEMA DE MAYOR'!G4</f>
        <v>3230.1</v>
      </c>
    </row>
    <row r="15" spans="1:8" ht="17.25">
      <c r="A15" s="263"/>
      <c r="B15" s="32"/>
      <c r="C15" s="207"/>
      <c r="D15" s="204" t="s">
        <v>161</v>
      </c>
      <c r="E15" s="32"/>
      <c r="F15" s="266"/>
      <c r="G15" s="266"/>
      <c r="H15" s="267">
        <f>'ESQUEMA DE MAYOR'!G13</f>
        <v>2153.4</v>
      </c>
    </row>
    <row r="16" spans="1:8" ht="17.25">
      <c r="A16" s="263"/>
      <c r="B16" s="32"/>
      <c r="C16" s="207"/>
      <c r="D16" s="204" t="s">
        <v>5</v>
      </c>
      <c r="E16" s="32"/>
      <c r="F16" s="266"/>
      <c r="G16" s="266"/>
      <c r="H16" s="267">
        <f>'ESQUEMA DE MAYOR'!K4</f>
        <v>150</v>
      </c>
    </row>
    <row r="17" spans="1:8" ht="17.25">
      <c r="A17" s="263"/>
      <c r="B17" s="32"/>
      <c r="C17" s="207"/>
      <c r="D17" s="204"/>
      <c r="E17" s="32"/>
      <c r="F17" s="266"/>
      <c r="G17" s="266"/>
      <c r="H17" s="266"/>
    </row>
    <row r="18" spans="1:8" ht="17.25">
      <c r="A18" s="263">
        <v>3</v>
      </c>
      <c r="B18" s="32"/>
      <c r="C18" s="207" t="s">
        <v>5</v>
      </c>
      <c r="D18" s="204"/>
      <c r="E18" s="32"/>
      <c r="F18" s="266"/>
      <c r="G18" s="267">
        <f>'ESQUEMA DE MAYOR'!J6</f>
        <v>200</v>
      </c>
      <c r="H18" s="266"/>
    </row>
    <row r="19" spans="1:8" ht="17.25">
      <c r="A19" s="263"/>
      <c r="B19" s="32"/>
      <c r="C19" s="207" t="s">
        <v>162</v>
      </c>
      <c r="D19" s="204"/>
      <c r="E19" s="32"/>
      <c r="F19" s="266"/>
      <c r="G19" s="266">
        <f>'ESQUEMA DE MAYOR'!J14</f>
        <v>22</v>
      </c>
      <c r="H19" s="266"/>
    </row>
    <row r="20" spans="1:8" ht="17.25">
      <c r="A20" s="263"/>
      <c r="B20" s="32"/>
      <c r="C20" s="207"/>
      <c r="D20" s="204" t="s">
        <v>159</v>
      </c>
      <c r="E20" s="32"/>
      <c r="F20" s="266"/>
      <c r="G20" s="266"/>
      <c r="H20" s="267">
        <f>'ESQUEMA DE MAYOR'!C4</f>
        <v>222</v>
      </c>
    </row>
    <row r="21" spans="1:8" ht="17.25">
      <c r="A21" s="263"/>
      <c r="B21" s="32"/>
      <c r="C21" s="207"/>
      <c r="D21" s="204"/>
      <c r="E21" s="32"/>
      <c r="F21" s="266"/>
      <c r="G21" s="266"/>
      <c r="H21" s="266"/>
    </row>
    <row r="22" spans="1:8" ht="17.25">
      <c r="A22" s="263">
        <v>4</v>
      </c>
      <c r="B22" s="32"/>
      <c r="C22" s="207" t="s">
        <v>4</v>
      </c>
      <c r="D22" s="204"/>
      <c r="E22" s="32"/>
      <c r="F22" s="266"/>
      <c r="G22" s="267">
        <f>'ESQUEMA DE MAYOR'!F5</f>
        <v>5168.16</v>
      </c>
      <c r="H22" s="266"/>
    </row>
    <row r="23" spans="1:8" ht="17.25">
      <c r="A23" s="263"/>
      <c r="B23" s="32"/>
      <c r="C23" s="207" t="s">
        <v>164</v>
      </c>
      <c r="D23" s="204"/>
      <c r="E23" s="32"/>
      <c r="F23" s="266"/>
      <c r="G23" s="267">
        <f>'ESQUEMA DE MAYOR'!B23</f>
        <v>360</v>
      </c>
      <c r="H23" s="266"/>
    </row>
    <row r="24" spans="1:8" ht="17.25">
      <c r="A24" s="263"/>
      <c r="B24" s="32"/>
      <c r="C24" s="207" t="s">
        <v>167</v>
      </c>
      <c r="D24" s="204"/>
      <c r="E24" s="32"/>
      <c r="F24" s="266"/>
      <c r="G24" s="267">
        <f>'ESQUEMA DE MAYOR'!N23</f>
        <v>7752.24</v>
      </c>
      <c r="H24" s="266"/>
    </row>
    <row r="25" spans="1:8" ht="17.25">
      <c r="A25" s="263"/>
      <c r="B25" s="32"/>
      <c r="C25" s="207"/>
      <c r="D25" s="204" t="s">
        <v>164</v>
      </c>
      <c r="E25" s="32"/>
      <c r="F25" s="266"/>
      <c r="G25" s="266"/>
      <c r="H25" s="267">
        <f>'ESQUEMA DE MAYOR'!C23</f>
        <v>12000</v>
      </c>
    </row>
    <row r="26" spans="1:8" ht="17.25">
      <c r="A26" s="263"/>
      <c r="B26" s="32"/>
      <c r="C26" s="207"/>
      <c r="D26" s="204" t="s">
        <v>203</v>
      </c>
      <c r="E26" s="32"/>
      <c r="F26" s="266"/>
      <c r="G26" s="266"/>
      <c r="H26" s="266">
        <f>'ESQUEMA DE MAYOR'!G23</f>
        <v>512.16</v>
      </c>
    </row>
    <row r="27" spans="1:8" ht="17.25">
      <c r="A27" s="263"/>
      <c r="B27" s="32"/>
      <c r="C27" s="207"/>
      <c r="D27" s="204" t="s">
        <v>208</v>
      </c>
      <c r="E27" s="32"/>
      <c r="F27" s="266"/>
      <c r="G27" s="266"/>
      <c r="H27" s="266">
        <f>'ESQUEMA DE MAYOR'!K23</f>
        <v>768.24</v>
      </c>
    </row>
    <row r="28" spans="1:8" ht="17.25">
      <c r="A28" s="263"/>
      <c r="B28" s="32"/>
      <c r="C28" s="207"/>
      <c r="D28" s="204"/>
      <c r="E28" s="32"/>
      <c r="F28" s="266"/>
      <c r="G28" s="266"/>
      <c r="H28" s="266"/>
    </row>
    <row r="29" spans="1:8" ht="17.25">
      <c r="A29" s="263" t="s">
        <v>272</v>
      </c>
      <c r="B29" s="32"/>
      <c r="C29" s="207" t="s">
        <v>173</v>
      </c>
      <c r="D29" s="204"/>
      <c r="E29" s="32"/>
      <c r="F29" s="266"/>
      <c r="G29" s="267">
        <f>'ESQUEMA DE MAYOR'!F42</f>
        <v>3525</v>
      </c>
      <c r="H29" s="266"/>
    </row>
    <row r="30" spans="1:8" ht="17.25">
      <c r="A30" s="263"/>
      <c r="B30" s="32"/>
      <c r="C30" s="207"/>
      <c r="D30" s="204" t="s">
        <v>5</v>
      </c>
      <c r="E30" s="32"/>
      <c r="F30" s="266"/>
      <c r="G30" s="266"/>
      <c r="H30" s="267">
        <f>'ESQUEMA DE MAYOR'!K5</f>
        <v>3525</v>
      </c>
    </row>
    <row r="31" spans="1:8" ht="17.25">
      <c r="A31" s="263"/>
      <c r="B31" s="32"/>
      <c r="C31" s="207"/>
      <c r="D31" s="204"/>
      <c r="E31" s="32"/>
      <c r="F31" s="266"/>
      <c r="G31" s="266"/>
      <c r="H31" s="266"/>
    </row>
    <row r="32" spans="1:8" ht="17.25">
      <c r="A32" s="263">
        <v>5</v>
      </c>
      <c r="B32" s="32"/>
      <c r="C32" s="207" t="s">
        <v>162</v>
      </c>
      <c r="D32" s="204"/>
      <c r="E32" s="32"/>
      <c r="F32" s="266"/>
      <c r="G32" s="266">
        <f>'ESQUEMA DE MAYOR'!J15</f>
        <v>1320</v>
      </c>
      <c r="H32" s="266"/>
    </row>
    <row r="33" spans="1:8" ht="17.25">
      <c r="A33" s="263"/>
      <c r="B33" s="32"/>
      <c r="C33" s="207" t="s">
        <v>273</v>
      </c>
      <c r="D33" s="204"/>
      <c r="E33" s="32"/>
      <c r="F33" s="266"/>
      <c r="G33" s="266">
        <f>'ESQUEMA DE MAYOR'!B32</f>
        <v>12000</v>
      </c>
      <c r="H33" s="266"/>
    </row>
    <row r="34" spans="1:8" ht="17.25">
      <c r="A34" s="263"/>
      <c r="B34" s="32"/>
      <c r="C34" s="207"/>
      <c r="D34" s="204" t="s">
        <v>4</v>
      </c>
      <c r="E34" s="32"/>
      <c r="F34" s="266"/>
      <c r="G34" s="266"/>
      <c r="H34" s="266">
        <f>'ESQUEMA DE MAYOR'!G5</f>
        <v>13320</v>
      </c>
    </row>
    <row r="35" spans="1:8" ht="17.25">
      <c r="A35" s="263"/>
      <c r="B35" s="32"/>
      <c r="C35" s="207"/>
      <c r="D35" s="204"/>
      <c r="E35" s="32"/>
      <c r="F35" s="266"/>
      <c r="G35" s="266"/>
      <c r="H35" s="266"/>
    </row>
    <row r="36" spans="1:8" ht="17.25">
      <c r="A36" s="263">
        <v>6</v>
      </c>
      <c r="B36" s="32"/>
      <c r="C36" s="207" t="s">
        <v>201</v>
      </c>
      <c r="D36" s="204"/>
      <c r="E36" s="32"/>
      <c r="F36" s="266"/>
      <c r="G36" s="266">
        <f>'ESQUEMA DE MAYOR'!N14</f>
        <v>770</v>
      </c>
      <c r="H36" s="266"/>
    </row>
    <row r="37" spans="1:8" ht="17.25">
      <c r="A37" s="263"/>
      <c r="B37" s="32"/>
      <c r="C37" s="207" t="s">
        <v>5</v>
      </c>
      <c r="D37" s="204"/>
      <c r="E37" s="32"/>
      <c r="F37" s="266"/>
      <c r="G37" s="267">
        <f>'ESQUEMA DE MAYOR'!J7</f>
        <v>7000</v>
      </c>
      <c r="H37" s="266"/>
    </row>
    <row r="38" spans="1:8" ht="17.25">
      <c r="A38" s="263"/>
      <c r="B38" s="32"/>
      <c r="C38" s="207"/>
      <c r="D38" s="204" t="s">
        <v>161</v>
      </c>
      <c r="E38" s="32"/>
      <c r="F38" s="266"/>
      <c r="G38" s="266"/>
      <c r="H38" s="267">
        <f>'ESQUEMA DE MAYOR'!G14</f>
        <v>7770</v>
      </c>
    </row>
    <row r="39" spans="1:8" ht="17.25">
      <c r="A39" s="263"/>
      <c r="B39" s="32"/>
      <c r="C39" s="207"/>
      <c r="D39" s="204"/>
      <c r="E39" s="32"/>
      <c r="F39" s="266"/>
      <c r="G39" s="266"/>
      <c r="H39" s="266"/>
    </row>
    <row r="40" spans="1:8" ht="17.25">
      <c r="A40" s="263">
        <v>7</v>
      </c>
      <c r="B40" s="32"/>
      <c r="C40" s="207" t="s">
        <v>162</v>
      </c>
      <c r="D40" s="204"/>
      <c r="E40" s="32"/>
      <c r="F40" s="266"/>
      <c r="G40" s="268">
        <f>'ESQUEMA DE MAYOR'!J16</f>
        <v>55</v>
      </c>
      <c r="H40" s="266"/>
    </row>
    <row r="41" spans="1:8" ht="17.25">
      <c r="A41" s="263"/>
      <c r="B41" s="32"/>
      <c r="C41" s="207" t="s">
        <v>201</v>
      </c>
      <c r="D41" s="204"/>
      <c r="E41" s="32"/>
      <c r="F41" s="266"/>
      <c r="G41" s="268">
        <f>'ESQUEMA DE MAYOR'!N15</f>
        <v>495</v>
      </c>
      <c r="H41" s="266"/>
    </row>
    <row r="42" spans="1:8" ht="17.25">
      <c r="A42" s="263"/>
      <c r="B42" s="32"/>
      <c r="C42" s="207" t="s">
        <v>207</v>
      </c>
      <c r="D42" s="204"/>
      <c r="E42" s="32"/>
      <c r="F42" s="266"/>
      <c r="G42" s="267">
        <f>'ESQUEMA DE MAYOR'!F32</f>
        <v>5000</v>
      </c>
      <c r="H42" s="266"/>
    </row>
    <row r="43" spans="1:8" ht="17.25">
      <c r="A43" s="263"/>
      <c r="B43" s="32"/>
      <c r="C43" s="207"/>
      <c r="D43" s="204" t="s">
        <v>159</v>
      </c>
      <c r="E43" s="32"/>
      <c r="F43" s="266"/>
      <c r="G43" s="266"/>
      <c r="H43" s="267">
        <f>'ESQUEMA DE MAYOR'!C5</f>
        <v>550</v>
      </c>
    </row>
    <row r="44" spans="1:8" ht="17.25">
      <c r="A44" s="263"/>
      <c r="B44" s="32"/>
      <c r="C44" s="207"/>
      <c r="D44" s="204" t="s">
        <v>204</v>
      </c>
      <c r="E44" s="32"/>
      <c r="F44" s="266"/>
      <c r="G44" s="266"/>
      <c r="H44" s="267">
        <f>'ESQUEMA DE MAYOR'!K32</f>
        <v>5000</v>
      </c>
    </row>
    <row r="45" spans="1:8" ht="17.25">
      <c r="A45" s="263"/>
      <c r="B45" s="32"/>
      <c r="C45" s="207"/>
      <c r="D45" s="204"/>
      <c r="E45" s="32"/>
      <c r="F45" s="266"/>
      <c r="G45" s="266"/>
      <c r="H45" s="266"/>
    </row>
    <row r="46" spans="1:8" ht="17.25">
      <c r="A46" s="263">
        <v>8</v>
      </c>
      <c r="B46" s="32"/>
      <c r="C46" s="207" t="s">
        <v>162</v>
      </c>
      <c r="D46" s="204"/>
      <c r="E46" s="32"/>
      <c r="F46" s="266"/>
      <c r="G46" s="266">
        <f>'ESQUEMA DE MAYOR'!J17</f>
        <v>220</v>
      </c>
      <c r="H46" s="266"/>
    </row>
    <row r="47" spans="1:8" ht="17.25">
      <c r="A47" s="263"/>
      <c r="B47" s="32"/>
      <c r="C47" s="207" t="s">
        <v>206</v>
      </c>
      <c r="D47" s="204"/>
      <c r="E47" s="32"/>
      <c r="F47" s="266"/>
      <c r="G47" s="266">
        <f>'ESQUEMA DE MAYOR'!B42</f>
        <v>1000</v>
      </c>
      <c r="H47" s="266"/>
    </row>
    <row r="48" spans="1:8" ht="17.25">
      <c r="A48" s="263"/>
      <c r="B48" s="32"/>
      <c r="C48" s="207" t="s">
        <v>205</v>
      </c>
      <c r="D48" s="204"/>
      <c r="E48" s="32"/>
      <c r="F48" s="266"/>
      <c r="G48" s="266">
        <f>'ESQUEMA DE MAYOR'!N32</f>
        <v>1000</v>
      </c>
      <c r="H48" s="266"/>
    </row>
    <row r="49" spans="1:8" ht="17.25">
      <c r="A49" s="263"/>
      <c r="B49" s="32"/>
      <c r="C49" s="207"/>
      <c r="D49" s="204" t="s">
        <v>4</v>
      </c>
      <c r="E49" s="32"/>
      <c r="F49" s="266"/>
      <c r="G49" s="266"/>
      <c r="H49" s="266">
        <f>'ESQUEMA DE MAYOR'!G6</f>
        <v>2220</v>
      </c>
    </row>
    <row r="50" spans="1:8" ht="17.25">
      <c r="A50" s="263"/>
      <c r="B50" s="32"/>
      <c r="C50" s="207"/>
      <c r="D50" s="204"/>
      <c r="E50" s="32"/>
      <c r="F50" s="266"/>
      <c r="G50" s="266"/>
      <c r="H50" s="266"/>
    </row>
    <row r="51" spans="1:8" ht="17.25">
      <c r="A51" s="263">
        <v>9</v>
      </c>
      <c r="B51" s="32"/>
      <c r="C51" s="207" t="s">
        <v>274</v>
      </c>
      <c r="D51" s="204"/>
      <c r="E51" s="32"/>
      <c r="F51" s="266"/>
      <c r="G51" s="266">
        <f>'ESQUEMA DE MAYOR'!F6</f>
        <v>9435</v>
      </c>
      <c r="H51" s="266"/>
    </row>
    <row r="52" spans="1:8" ht="17.25">
      <c r="A52" s="263"/>
      <c r="B52" s="32"/>
      <c r="C52" s="207" t="s">
        <v>167</v>
      </c>
      <c r="D52" s="204"/>
      <c r="E52" s="32"/>
      <c r="F52" s="266"/>
      <c r="G52" s="266">
        <f>'ESQUEMA DE MAYOR'!N24</f>
        <v>9435</v>
      </c>
      <c r="H52" s="266"/>
    </row>
    <row r="53" spans="1:8" ht="17.25">
      <c r="A53" s="263"/>
      <c r="B53" s="32"/>
      <c r="C53" s="207"/>
      <c r="D53" s="204" t="s">
        <v>164</v>
      </c>
      <c r="E53" s="32"/>
      <c r="F53" s="266"/>
      <c r="G53" s="266"/>
      <c r="H53" s="266">
        <f>'ESQUEMA DE MAYOR'!C24</f>
        <v>17000</v>
      </c>
    </row>
    <row r="54" spans="1:8" ht="17.25">
      <c r="A54" s="263"/>
      <c r="B54" s="32"/>
      <c r="C54" s="207"/>
      <c r="D54" s="204" t="s">
        <v>203</v>
      </c>
      <c r="E54" s="32"/>
      <c r="F54" s="266"/>
      <c r="G54" s="266"/>
      <c r="H54" s="266">
        <f>'ESQUEMA DE MAYOR'!G24</f>
        <v>935</v>
      </c>
    </row>
    <row r="55" spans="1:8" ht="17.25">
      <c r="A55" s="263"/>
      <c r="B55" s="32"/>
      <c r="C55" s="207"/>
      <c r="D55" s="204" t="s">
        <v>208</v>
      </c>
      <c r="E55" s="32"/>
      <c r="F55" s="266"/>
      <c r="G55" s="266"/>
      <c r="H55" s="266">
        <f>'ESQUEMA DE MAYOR'!K24</f>
        <v>935</v>
      </c>
    </row>
    <row r="56" spans="1:8" ht="17.25">
      <c r="A56" s="263"/>
      <c r="B56" s="32"/>
      <c r="C56" s="207"/>
      <c r="D56" s="204"/>
      <c r="E56" s="32"/>
      <c r="F56" s="266"/>
      <c r="G56" s="266"/>
      <c r="H56" s="266"/>
    </row>
    <row r="57" spans="1:8" ht="17.25">
      <c r="A57" s="263" t="s">
        <v>275</v>
      </c>
      <c r="B57" s="32"/>
      <c r="C57" s="207" t="s">
        <v>173</v>
      </c>
      <c r="D57" s="204"/>
      <c r="E57" s="32"/>
      <c r="F57" s="266"/>
      <c r="G57" s="268">
        <f>'ESQUEMA DE MAYOR'!F43</f>
        <v>6020</v>
      </c>
      <c r="H57" s="266"/>
    </row>
    <row r="58" spans="1:8" ht="17.25">
      <c r="A58" s="263"/>
      <c r="B58" s="32"/>
      <c r="C58" s="207"/>
      <c r="D58" s="204" t="s">
        <v>5</v>
      </c>
      <c r="E58" s="32"/>
      <c r="F58" s="266"/>
      <c r="G58" s="266"/>
      <c r="H58" s="268">
        <f>'ESQUEMA DE MAYOR'!K6</f>
        <v>6020</v>
      </c>
    </row>
    <row r="59" spans="1:8" ht="17.25">
      <c r="A59" s="263"/>
      <c r="B59" s="32"/>
      <c r="C59" s="207"/>
      <c r="D59" s="204"/>
      <c r="E59" s="32"/>
      <c r="F59" s="266"/>
      <c r="G59" s="266"/>
      <c r="H59" s="266"/>
    </row>
    <row r="60" spans="1:8" ht="17.25">
      <c r="A60" s="263">
        <v>10</v>
      </c>
      <c r="B60" s="32"/>
      <c r="C60" s="207" t="s">
        <v>205</v>
      </c>
      <c r="D60" s="204"/>
      <c r="E60" s="32"/>
      <c r="F60" s="266"/>
      <c r="G60" s="267">
        <f>'ESQUEMA DE MAYOR'!N33</f>
        <v>1500</v>
      </c>
      <c r="H60" s="266"/>
    </row>
    <row r="61" spans="1:8" ht="17.25">
      <c r="A61" s="263"/>
      <c r="B61" s="32"/>
      <c r="C61" s="207" t="s">
        <v>206</v>
      </c>
      <c r="D61" s="204"/>
      <c r="E61" s="32"/>
      <c r="F61" s="266"/>
      <c r="G61" s="267">
        <f>'ESQUEMA DE MAYOR'!B43</f>
        <v>1500</v>
      </c>
      <c r="H61" s="266"/>
    </row>
    <row r="62" spans="1:8" ht="17.25">
      <c r="A62" s="263"/>
      <c r="B62" s="32"/>
      <c r="C62" s="207"/>
      <c r="D62" s="204" t="s">
        <v>4</v>
      </c>
      <c r="E62" s="32"/>
      <c r="F62" s="266"/>
      <c r="G62" s="266"/>
      <c r="H62" s="267">
        <f>'ESQUEMA DE MAYOR'!G7</f>
        <v>3000</v>
      </c>
    </row>
    <row r="63" spans="1:8" ht="17.25">
      <c r="A63" s="27"/>
      <c r="B63" s="27"/>
      <c r="C63" s="269" t="s">
        <v>281</v>
      </c>
      <c r="D63" s="154"/>
      <c r="E63" s="27"/>
      <c r="F63" s="213"/>
      <c r="G63" s="270">
        <f>SUM(G5:G62)</f>
        <v>206310.9</v>
      </c>
      <c r="H63" s="271">
        <f>ROUND(SUM(H5:H62),0)</f>
        <v>206311</v>
      </c>
    </row>
  </sheetData>
  <mergeCells count="1"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PROBLEMAS</vt:lpstr>
      <vt:lpstr>PROB. AJUSTES</vt:lpstr>
      <vt:lpstr>ESQUEMA DE MAYOR</vt:lpstr>
      <vt:lpstr>BALANZA DE COMPROBACION</vt:lpstr>
      <vt:lpstr>HOJA DE TRABAJO</vt:lpstr>
      <vt:lpstr>BALANCE GENERAL</vt:lpstr>
      <vt:lpstr>BALANZA COMPARATIVA</vt:lpstr>
      <vt:lpstr>ESTADO DE RESULTADO</vt:lpstr>
      <vt:lpstr>ANALISIS</vt:lpstr>
      <vt:lpstr>ESQ. M. AJUSTADOS</vt:lpstr>
      <vt:lpstr>TARGETA DE ALMACEN</vt:lpstr>
      <vt:lpstr>GRAFICA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USER</cp:lastModifiedBy>
  <dcterms:created xsi:type="dcterms:W3CDTF">2012-04-02T22:11:25Z</dcterms:created>
  <dcterms:modified xsi:type="dcterms:W3CDTF">2014-10-27T00:27:23Z</dcterms:modified>
</cp:coreProperties>
</file>